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625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comments6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9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91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96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other 33 UG Cable</t>
        </r>
      </text>
    </comment>
    <comment ref="E11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12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1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included in OHL cost</t>
        </r>
      </text>
    </comment>
    <comment ref="E13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other 132 UG Cable</t>
        </r>
      </text>
    </comment>
    <comment ref="E141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rFont val="Tahoma"/>
            <family val="2"/>
          </rPr>
          <t>George Moran:</t>
        </r>
        <r>
          <rPr>
            <sz val="8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<sst xmlns="http://schemas.openxmlformats.org/spreadsheetml/2006/main" count="3111" uniqueCount="964">
  <si>
    <t>Shrewsbury - Harlescott 33kV reinforcement</t>
  </si>
  <si>
    <t>f</t>
  </si>
  <si>
    <t xml:space="preserve">Construction of new 33kV OHL between Shrewsbury and Harlescott.  </t>
  </si>
  <si>
    <t>Shrewsbury 132/33kV Grid Transformer Reinforcement</t>
  </si>
  <si>
    <t>Installation of a third 132/33kV transformer (90MVA).  Transfer of assets from NG in 2010</t>
  </si>
  <si>
    <t>Snedshill 33/11kV reinforcement</t>
  </si>
  <si>
    <t>Uprating 20MVA TX at Snedshill to 20/40MVA unit.  Installation of 33kV s/gear at Ketley BSP.  Rectify Snedshill 11kV s/gear restrictions.</t>
  </si>
  <si>
    <t>St. Weonards reinforcement</t>
  </si>
  <si>
    <t>Stafford Grid</t>
  </si>
  <si>
    <t>Uprating 30MVA transformer for 60MVA, commission second winding of 60MVA Transformer and extend switchboard</t>
  </si>
  <si>
    <t>Bodenham Second 66/11kV Transformer &amp; install 66kV bus section</t>
  </si>
  <si>
    <t>Uprating Knypersley-Goldenhill-Talke 33kV circuit (10km). Rebuilding 1.3km of OH and overlay 1.4km of UG cable.</t>
  </si>
  <si>
    <t>Ladywood / Winson Green SCO security</t>
  </si>
  <si>
    <t>Installation of additional transformer and 11kV switchgear section</t>
  </si>
  <si>
    <t>Shifnal primary reinforcement</t>
  </si>
  <si>
    <t>Boundary category</t>
  </si>
  <si>
    <t>HV generation end user</t>
  </si>
  <si>
    <t>Boundary 0000</t>
  </si>
  <si>
    <t>Not used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</si>
  <si>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</si>
  <si>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</si>
  <si>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</si>
  <si>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</si>
  <si>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</si>
  <si>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</si>
  <si>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</si>
  <si>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</si>
  <si>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</si>
  <si>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</si>
  <si>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Less transmission exit charges ?</t>
  </si>
  <si>
    <t>Total Net Capex 2005/06 -2014/15 LV, LV/HV, HV, EHV, 132kV split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</si>
  <si>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</si>
  <si>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</si>
  <si>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</si>
  <si>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</si>
  <si>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</si>
  <si>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</si>
  <si>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</si>
  <si>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</si>
  <si>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</si>
  <si>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</si>
  <si>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</si>
  <si>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</si>
  <si>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</si>
  <si>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% Cost capitalised (from DCPR settlement - same for all DNOs)</t>
  </si>
  <si>
    <t>MEAV excl services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</si>
  <si>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</si>
  <si>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</si>
  <si>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</si>
  <si>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</si>
  <si>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</si>
  <si>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</si>
  <si>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</si>
  <si>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</si>
  <si>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</si>
  <si>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</si>
  <si>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</si>
  <si>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</si>
  <si>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</si>
  <si>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</si>
  <si>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Unallocated costs = Total - costs allocated to network tiers</t>
  </si>
  <si>
    <t>Costs allocated to netwrok tiers in RRP - from 2.2 amd 2.3</t>
  </si>
  <si>
    <t>Legacy Basic Meter Asset Provision Revenue</t>
  </si>
  <si>
    <t>Classification</t>
  </si>
  <si>
    <t>All</t>
  </si>
  <si>
    <t>All EHV</t>
  </si>
  <si>
    <t>Price control revenue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</si>
  <si>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</si>
  <si>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</si>
  <si>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</si>
  <si>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</si>
  <si>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</si>
  <si>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</si>
  <si>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</si>
  <si>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</si>
  <si>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</si>
  <si>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</si>
  <si>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</si>
  <si>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</si>
  <si>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</si>
  <si>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</si>
  <si>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</si>
  <si>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</si>
  <si>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</si>
  <si>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</si>
  <si>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</si>
  <si>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</si>
  <si>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Other Costs from full activitty cost allocation</t>
  </si>
  <si>
    <t>Total activity cost - from RRP 1.3</t>
  </si>
  <si>
    <t>Opex only on p/kWh throughput</t>
  </si>
  <si>
    <t>HV/LV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</si>
  <si>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</si>
  <si>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</si>
  <si>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</si>
  <si>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</si>
  <si>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</si>
  <si>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</si>
  <si>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</si>
  <si>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</si>
  <si>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</si>
  <si>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</si>
  <si>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</si>
  <si>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</si>
  <si>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</si>
  <si>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</si>
  <si>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</si>
  <si>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</si>
  <si>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</si>
  <si>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</si>
  <si>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</si>
  <si>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</si>
  <si>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</si>
  <si>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</si>
  <si>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</si>
  <si>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</si>
  <si>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</si>
  <si>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</si>
  <si>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</si>
  <si>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</si>
  <si>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</si>
  <si>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</si>
  <si>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</si>
  <si>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</si>
  <si>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Fault level system measures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</si>
  <si>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</si>
  <si>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</si>
  <si>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</si>
  <si>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</si>
  <si>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</si>
  <si>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</si>
  <si>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</si>
  <si>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</si>
  <si>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</si>
  <si>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</si>
  <si>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</si>
  <si>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</si>
  <si>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</si>
  <si>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</si>
  <si>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</si>
  <si>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</si>
  <si>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 xml:space="preserve">Step 2. Allocate price control revenues to network tiers 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</si>
  <si>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</si>
  <si>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</si>
  <si>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</si>
  <si>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</si>
  <si>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Step 1 - extract total activity costs from cost report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</si>
  <si>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</si>
  <si>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</si>
  <si>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</si>
  <si>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</si>
  <si>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</si>
  <si>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</si>
  <si>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</si>
  <si>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</si>
  <si>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</si>
  <si>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</si>
  <si>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</si>
  <si>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</si>
  <si>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</si>
  <si>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</si>
  <si>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</si>
  <si>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</si>
  <si>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33kV UG Cable (Non Pressurised)</t>
  </si>
  <si>
    <t>33kV UG Cable (Oil)</t>
  </si>
  <si>
    <t>33kV UG Cable (Gas)</t>
  </si>
  <si>
    <t>Propportion of costs allocated to Opex and Capex</t>
  </si>
  <si>
    <t>No discount</t>
  </si>
  <si>
    <t>LDNO LV: LV user</t>
  </si>
  <si>
    <t>LDNO HV: LV user</t>
  </si>
  <si>
    <t>LDNO HV: LV sub user</t>
  </si>
  <si>
    <t>LDNO HV: HV user</t>
  </si>
  <si>
    <t>Input data reconciliation check</t>
  </si>
  <si>
    <t>Compare results to current CDCM Method M with DCP096</t>
  </si>
  <si>
    <t>LDNO discount using data in this model</t>
  </si>
  <si>
    <t>Cost drivers - lookup from "Calc-Drivers"</t>
  </si>
  <si>
    <t>Proportion of cost allocated to each network tier</t>
  </si>
  <si>
    <t>LV only</t>
  </si>
  <si>
    <t>HV only</t>
  </si>
  <si>
    <t>66kV Pole</t>
  </si>
  <si>
    <t>66kV Tower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</si>
  <si>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</si>
  <si>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</si>
  <si>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</si>
  <si>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</si>
  <si>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</si>
  <si>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</si>
  <si>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</si>
  <si>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</si>
  <si>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</si>
  <si>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</si>
  <si>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</si>
  <si>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</si>
  <si>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</si>
  <si>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</si>
  <si>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</si>
  <si>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</si>
  <si>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</si>
  <si>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</si>
  <si>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</si>
  <si>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</si>
  <si>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</si>
  <si>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</si>
  <si>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</si>
  <si>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</si>
  <si>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Direct cost %</t>
  </si>
  <si>
    <t>Is DNO Unit cost if avaliable, otherwise PB power unit cost</t>
  </si>
  <si>
    <t>(Profit) / Loss on Disposal</t>
  </si>
  <si>
    <t>132kV total</t>
  </si>
  <si>
    <t>Expenditure on DSM to avoid customer spec investment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</si>
  <si>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</si>
  <si>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</si>
  <si>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</si>
  <si>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</si>
  <si>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</si>
  <si>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</si>
  <si>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</si>
  <si>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</si>
  <si>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</si>
  <si>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MEAV  - LV, LV/HV, HV, EHV, 132kV split</t>
  </si>
  <si>
    <t>LV/HV</t>
  </si>
  <si>
    <t>Units (kWh) flowing through each level, loss-adjusted to LV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</si>
  <si>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</si>
  <si>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</si>
  <si>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</si>
  <si>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</si>
  <si>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</si>
  <si>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</si>
  <si>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</si>
  <si>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</si>
  <si>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</si>
  <si>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</si>
  <si>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</si>
  <si>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</si>
  <si>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</si>
  <si>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</si>
  <si>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</si>
  <si>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</si>
  <si>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</si>
  <si>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</si>
  <si>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</si>
  <si>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</si>
  <si>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Total proactive condition based replacement (£m)</t>
  </si>
  <si>
    <t>Reactive condition-based replacement (fault)</t>
  </si>
  <si>
    <t>PV of excluded service revenue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</si>
  <si>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</si>
  <si>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</si>
  <si>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</si>
  <si>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</si>
  <si>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</si>
  <si>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</si>
  <si>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</si>
  <si>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</si>
  <si>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</si>
  <si>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</si>
  <si>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</si>
  <si>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</si>
  <si>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</si>
  <si>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</si>
  <si>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</si>
  <si>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</si>
  <si>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</si>
  <si>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</si>
  <si>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</si>
  <si>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</si>
  <si>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</si>
  <si>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</si>
  <si>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</si>
  <si>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</si>
  <si>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</si>
  <si>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</si>
  <si>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</si>
  <si>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</si>
  <si>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</si>
  <si>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</si>
  <si>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(from FBPQ LR4)</t>
  </si>
  <si>
    <t>Named scheme</t>
  </si>
  <si>
    <t>LV Board (WM)</t>
  </si>
  <si>
    <t>LV UGB</t>
  </si>
  <si>
    <t>Relevant distributed generation (less contributions)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</si>
  <si>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</si>
  <si>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</si>
  <si>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</si>
  <si>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</si>
  <si>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</si>
  <si>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</si>
  <si>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</si>
  <si>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</si>
  <si>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CAUTION - THIS PACK DOES NOT BALANCE</t>
  </si>
  <si>
    <t>31 March 2006</t>
  </si>
  <si>
    <t>20 kV Switchgear - Other (GM)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</si>
  <si>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</si>
  <si>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</si>
  <si>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</si>
  <si>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</si>
  <si>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</si>
  <si>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</si>
  <si>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</si>
  <si>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</si>
  <si>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</si>
  <si>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</si>
  <si>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</si>
  <si>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</si>
  <si>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</si>
  <si>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</si>
  <si>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</si>
  <si>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</si>
  <si>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</si>
  <si>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</si>
  <si>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 xml:space="preserve">Reduction in units distributed due to energy efficiency </t>
  </si>
  <si>
    <t>Units distributed offset by DG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</si>
  <si>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</si>
  <si>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</si>
  <si>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</si>
  <si>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</si>
  <si>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</si>
  <si>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</si>
  <si>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</si>
  <si>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</si>
  <si>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</si>
  <si>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</si>
  <si>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</si>
  <si>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</si>
  <si>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Discounted revenue index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</si>
  <si>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</si>
  <si>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</si>
  <si>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</si>
  <si>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</si>
  <si>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</si>
  <si>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</si>
  <si>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</si>
  <si>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</si>
  <si>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</si>
  <si>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</si>
  <si>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</si>
  <si>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</si>
  <si>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Total number of demand disconnections</t>
  </si>
  <si>
    <t>Total inc. expenditure on DSM to avoid customer spec investment</t>
  </si>
  <si>
    <t>Closing DCPR asset Balance (units)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</si>
  <si>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</si>
  <si>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</si>
  <si>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</si>
  <si>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</si>
  <si>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</si>
  <si>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</si>
  <si>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Total MEAV</t>
  </si>
  <si>
    <t>Opening asset value</t>
  </si>
  <si>
    <t>Allowed revenue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</si>
  <si>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</si>
  <si>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</si>
  <si>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</si>
  <si>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</si>
  <si>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</si>
  <si>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</si>
  <si>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</si>
  <si>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</si>
  <si>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</si>
  <si>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</si>
  <si>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</si>
  <si>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Number of fault level schemes</t>
  </si>
  <si>
    <t>Switchgear, Transformers, Substation</t>
  </si>
  <si>
    <t>Boundary 132kV</t>
  </si>
  <si>
    <t>Boundary 132kV/EHV</t>
  </si>
  <si>
    <t>Boundary EHV</t>
  </si>
  <si>
    <t>Boundary HVplus</t>
  </si>
  <si>
    <t>Underground - Pressure assisted</t>
  </si>
  <si>
    <t>Underground - Non Pressure assisted</t>
  </si>
  <si>
    <t>Submarine cables - all voltages</t>
  </si>
  <si>
    <t>Check</t>
  </si>
  <si>
    <t>EHV - Pole line</t>
  </si>
  <si>
    <t>EHV - Tower line</t>
  </si>
  <si>
    <t>Fittings only</t>
  </si>
  <si>
    <t>Reconductoring</t>
  </si>
  <si>
    <t>Tower Refurbishment</t>
  </si>
  <si>
    <t>EHV Total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</si>
  <si>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</si>
  <si>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</si>
  <si>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</si>
  <si>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</si>
  <si>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</si>
  <si>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</si>
  <si>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</si>
  <si>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</si>
  <si>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</si>
  <si>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</si>
  <si>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</si>
  <si>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</si>
  <si>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</si>
  <si>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</si>
  <si>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</si>
  <si>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>Unapportioned part of shared LV</t>
  </si>
  <si>
    <t>LR6 - Fault levels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</si>
  <si>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</si>
  <si>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</si>
  <si>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</si>
  <si>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</si>
  <si>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</si>
  <si>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</si>
  <si>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</si>
  <si>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</si>
  <si>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</si>
  <si>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</si>
  <si>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</si>
  <si>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</si>
  <si>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</si>
  <si>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</si>
  <si>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</si>
  <si>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</si>
  <si>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</si>
  <si>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</si>
  <si>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</si>
  <si>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</si>
  <si>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</si>
  <si>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Cost including indirects (absorbed costs in T2A)</t>
  </si>
  <si>
    <t>(£k)</t>
  </si>
  <si>
    <t>Adjustments on T4.3</t>
  </si>
  <si>
    <t>31 March 2007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</si>
  <si>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</si>
  <si>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</si>
  <si>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</si>
  <si>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</si>
  <si>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</si>
  <si>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</si>
  <si>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</si>
  <si>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</si>
  <si>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20 kV Switchgear - Other (PM)</t>
  </si>
  <si>
    <t>Net (gross directs - customer contributions directs)</t>
  </si>
  <si>
    <t>Increase in units distributed due to generic background demand growth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</si>
  <si>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</si>
  <si>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</si>
  <si>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</si>
  <si>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</si>
  <si>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</si>
  <si>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</si>
  <si>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</si>
  <si>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</si>
  <si>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</si>
  <si>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</si>
  <si>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</si>
  <si>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</si>
  <si>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</si>
  <si>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</si>
  <si>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</si>
  <si>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</si>
  <si>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</si>
  <si>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</si>
  <si>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</si>
  <si>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</si>
  <si>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Connections provided at 132kV</t>
  </si>
  <si>
    <t>Incremental increase in max demand due to new connections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</si>
  <si>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</si>
  <si>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</si>
  <si>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</si>
  <si>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</si>
  <si>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</si>
  <si>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</si>
  <si>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</si>
  <si>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</si>
  <si>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</si>
  <si>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</si>
  <si>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</si>
  <si>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</si>
  <si>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</si>
  <si>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</si>
  <si>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</si>
  <si>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</si>
  <si>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</si>
  <si>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</si>
  <si>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</si>
  <si>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</si>
  <si>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</si>
  <si>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</si>
  <si>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</si>
  <si>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</si>
  <si>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</si>
  <si>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</si>
  <si>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</si>
  <si>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From 2007/08 revenue summary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</si>
  <si>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</si>
  <si>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</si>
  <si>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</si>
  <si>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</si>
  <si>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</si>
  <si>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</si>
  <si>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</si>
  <si>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</si>
  <si>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</si>
  <si>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</si>
  <si>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</si>
  <si>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</si>
  <si>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</si>
  <si>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</si>
  <si>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</si>
  <si>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</si>
  <si>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</si>
  <si>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</si>
  <si>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Operating costs = sum of allocated and unallocated multplied by 1 minus capitalised proprtion</t>
  </si>
  <si>
    <t>Base revenue</t>
  </si>
  <si>
    <t>Scottish Electricity Settlements run-off (Scottish DNOs only)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</si>
  <si>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</si>
  <si>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</si>
  <si>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</si>
  <si>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</si>
  <si>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</si>
  <si>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</si>
  <si>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</si>
  <si>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</si>
  <si>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</si>
  <si>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</si>
  <si>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</si>
  <si>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</si>
  <si>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</si>
  <si>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</si>
  <si>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</si>
  <si>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</si>
  <si>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</si>
  <si>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</si>
  <si>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</si>
  <si>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Net Book Value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</si>
  <si>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</si>
  <si>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</si>
  <si>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</si>
  <si>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</si>
  <si>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</si>
  <si>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</si>
  <si>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</si>
  <si>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</si>
  <si>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</si>
  <si>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</si>
  <si>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</si>
  <si>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</si>
  <si>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</si>
  <si>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</si>
  <si>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</si>
  <si>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</si>
  <si>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</si>
  <si>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</si>
  <si>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</si>
  <si>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Disallowed Related Party Margins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</si>
  <si>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</si>
  <si>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</si>
  <si>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</si>
  <si>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</si>
  <si>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</si>
  <si>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</si>
  <si>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</si>
  <si>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</si>
  <si>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</si>
  <si>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Direct activities</t>
  </si>
  <si>
    <t>Total CMLs (Excluding EE)</t>
  </si>
  <si>
    <t>CMLs</t>
  </si>
  <si>
    <t>Condition based</t>
  </si>
  <si>
    <t>Units Distributed</t>
  </si>
  <si>
    <t>GWh</t>
  </si>
  <si>
    <t>LOSSES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</si>
  <si>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</si>
  <si>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</si>
  <si>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</si>
  <si>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</si>
  <si>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</si>
  <si>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</si>
  <si>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</si>
  <si>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</si>
  <si>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</si>
  <si>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</si>
  <si>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</si>
  <si>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</si>
  <si>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Distribution Circuit Length - Overhead (km)</t>
  </si>
  <si>
    <t>Circuit km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</si>
  <si>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</si>
  <si>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</si>
  <si>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</si>
  <si>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</si>
  <si>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</si>
  <si>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</si>
  <si>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</si>
  <si>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</si>
  <si>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</si>
  <si>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</si>
  <si>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</si>
  <si>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</si>
  <si>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</si>
  <si>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</si>
  <si>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</si>
  <si>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</si>
  <si>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</si>
  <si>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</si>
  <si>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</si>
  <si>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</si>
  <si>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</si>
  <si>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</si>
  <si>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</si>
  <si>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</si>
  <si>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</si>
  <si>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</si>
  <si>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</si>
  <si>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</si>
  <si>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6.6/11 kV Switch (GM)</t>
  </si>
  <si>
    <t>General Reinforcement:</t>
  </si>
  <si>
    <t>LV System</t>
  </si>
  <si>
    <t>Estimated number demand connections/disconnections at EHV</t>
  </si>
  <si>
    <t>Disconnections</t>
  </si>
  <si>
    <t>HV ground mounted</t>
  </si>
  <si>
    <t>HV pole mounted</t>
  </si>
  <si>
    <t>Regulatory Reporting Pack</t>
  </si>
  <si>
    <t>MISCELLANEOUS</t>
  </si>
  <si>
    <t>Network levels provided or bypassed by the DNO</t>
  </si>
  <si>
    <t>Network levels bypassed by the DNO</t>
  </si>
  <si>
    <t>Costs outside scope of DPCR4 allowances</t>
  </si>
  <si>
    <t>Road Occupation &amp; Permit Scheme Costs included within Lane Rentals, previously agreed in writing with Ofgem to be treated as logged up costs:</t>
  </si>
  <si>
    <t>Customer specific demand investment</t>
  </si>
  <si>
    <t>Main Forecast Business Plan DPCR5</t>
  </si>
  <si>
    <t xml:space="preserve"> 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</si>
  <si>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</si>
  <si>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</si>
  <si>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</si>
  <si>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</si>
  <si>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</si>
  <si>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</si>
  <si>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</si>
  <si>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</si>
  <si>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Total Net Non-load replacement</t>
  </si>
  <si>
    <t>Road occupation costs</t>
  </si>
  <si>
    <t>Permit scheme costs</t>
  </si>
  <si>
    <t>Congestion charges</t>
  </si>
  <si>
    <t>Total per Table 2.2</t>
  </si>
  <si>
    <t>Installation of 1 transformer BSP at Iron Acton. Includes 33kV connection and rebuild of Iron Acton - Alveston circuit</t>
  </si>
  <si>
    <t>Comet Bridge 33/11kV Reinforcement (aka Monkmoor or Spring Gardens)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</si>
  <si>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</si>
  <si>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</si>
  <si>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</si>
  <si>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</si>
  <si>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</si>
  <si>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</si>
  <si>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</si>
  <si>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Underground cables</t>
  </si>
  <si>
    <t>Submarine cables</t>
  </si>
  <si>
    <t>Total non-load replacement (£m)</t>
  </si>
  <si>
    <t>Sum of allocated and "unallocted" costs expressed per unit throughput (p/kWh)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</si>
  <si>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</si>
  <si>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</si>
  <si>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</si>
  <si>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</si>
  <si>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</si>
  <si>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</si>
  <si>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</si>
  <si>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</si>
  <si>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</si>
  <si>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</si>
  <si>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</si>
  <si>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</si>
  <si>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</si>
  <si>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</si>
  <si>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</si>
  <si>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</si>
  <si>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</si>
  <si>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</si>
  <si>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Underground mains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</si>
  <si>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</si>
  <si>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</si>
  <si>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</si>
  <si>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</si>
  <si>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</si>
  <si>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</si>
  <si>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</si>
  <si>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</si>
  <si>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</si>
  <si>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</si>
  <si>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</si>
  <si>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</si>
  <si>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</si>
  <si>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</si>
  <si>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</si>
  <si>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</si>
  <si>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Units</t>
  </si>
  <si>
    <t>2005/06</t>
  </si>
  <si>
    <t>2006/07</t>
  </si>
  <si>
    <t>2008/09</t>
  </si>
  <si>
    <t>Transmission exit charges</t>
  </si>
  <si>
    <t>Wheeled units imported</t>
  </si>
  <si>
    <t>Network rates</t>
  </si>
  <si>
    <t>Costs inside scope of DPCR4 allowances</t>
  </si>
  <si>
    <t>QUALITY OF SERVICE</t>
  </si>
  <si>
    <t>Historical data</t>
  </si>
  <si>
    <t>Telecoms Non-operational Capital Expenditures</t>
  </si>
  <si>
    <t>6.6/11 kV OHL (Open)</t>
  </si>
  <si>
    <t>6.6/11 kV OHL (Covered)</t>
  </si>
  <si>
    <t>20 kV OHL (Open)</t>
  </si>
  <si>
    <t>Guaranteed standard of performance compensation payments</t>
  </si>
  <si>
    <t>NETWORK ACTIVITY INDICATORS</t>
  </si>
  <si>
    <t>Uprating line by rebuilding / refurbishment (19km)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</si>
  <si>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</si>
  <si>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</si>
  <si>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</si>
  <si>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</si>
  <si>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</si>
  <si>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</si>
  <si>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</si>
  <si>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</si>
  <si>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</si>
  <si>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</si>
  <si>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</si>
  <si>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</si>
  <si>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</si>
  <si>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</si>
  <si>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</si>
  <si>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</si>
  <si>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</si>
  <si>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TOTAL</t>
  </si>
  <si>
    <t>0</t>
  </si>
  <si>
    <t>Banbury group, Brackley SCO</t>
  </si>
  <si>
    <t>c</t>
  </si>
  <si>
    <t>Installation of a third 132kV circuit. Costs split across East and West. Wayleaves only in DPCR5, construction in DPCR6.</t>
  </si>
  <si>
    <t>Bishops Castle 33/11kV Transformer reinforcement, switchgear automation</t>
  </si>
  <si>
    <t>33kV</t>
  </si>
  <si>
    <t>a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</si>
  <si>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</si>
  <si>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</si>
  <si>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</si>
  <si>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</si>
  <si>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</si>
  <si>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</si>
  <si>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</si>
  <si>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</si>
  <si>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</si>
  <si>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</si>
  <si>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</si>
  <si>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</si>
  <si>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</si>
  <si>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</si>
  <si>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</si>
  <si>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</si>
  <si>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</si>
  <si>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</si>
  <si>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</si>
  <si>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</si>
  <si>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</si>
  <si>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</si>
  <si>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</si>
  <si>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</si>
  <si>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</si>
  <si>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</si>
  <si>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</si>
  <si>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</si>
  <si>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</si>
  <si>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</si>
  <si>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Metered LV Services</t>
  </si>
  <si>
    <t>Overhead</t>
  </si>
  <si>
    <t>Underground</t>
  </si>
  <si>
    <t>Un-metered LV Services</t>
  </si>
  <si>
    <t>Costs previously agreed with Ofgem in writing for additional security</t>
  </si>
  <si>
    <t>Customer contributions indirects</t>
  </si>
  <si>
    <t>Finance &amp; Regulation</t>
  </si>
  <si>
    <t>Malehurst 33/11kV reinforcement</t>
  </si>
  <si>
    <t>Uprating two 7.5MVA transformers with two 12/24MVA units and replacement of 11kV switchboard</t>
  </si>
  <si>
    <t>Stockton and Cleobury Mortimer Reinforcement</t>
  </si>
  <si>
    <t>(Profit)/loss on sale of fixed assets and scrap[(-ve)/+ve]</t>
  </si>
  <si>
    <t>Statutory Depreciation on operational assets</t>
  </si>
  <si>
    <t>Pension deficit repair payments</t>
  </si>
  <si>
    <t>Market Drayton 33/11kV reinforcement</t>
  </si>
  <si>
    <t xml:space="preserve">Installation of a new 33/11kV substation at Spring Gardens near existing primary site and dismantlement of Comet Bridge. </t>
  </si>
  <si>
    <t>Cotes Heath 33/11kV S/S reinforcement</t>
  </si>
  <si>
    <t>Installation of an additional transformer, 33kV crossbay and extension of 11kV board</t>
  </si>
  <si>
    <t>Cowhorn 33/11kV reinforcement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</si>
  <si>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</si>
  <si>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</si>
  <si>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</si>
  <si>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</si>
  <si>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</si>
  <si>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Underground Cables</t>
  </si>
  <si>
    <t>Submarine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</si>
  <si>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</si>
  <si>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</si>
  <si>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</si>
  <si>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</si>
  <si>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</si>
  <si>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</si>
  <si>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</si>
  <si>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</si>
  <si>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</si>
  <si>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Dudbridge 33/11kV reinforcement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</si>
  <si>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</si>
  <si>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</si>
  <si>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</si>
  <si>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</si>
  <si>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</si>
  <si>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</si>
  <si>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</si>
  <si>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</si>
  <si>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</si>
  <si>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</si>
  <si>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</si>
  <si>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</si>
  <si>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</si>
  <si>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</si>
  <si>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 xml:space="preserve">Feckenham - Bevington dual circuit steel tower line uprating </t>
  </si>
  <si>
    <t>Index</t>
  </si>
  <si>
    <t>PB power numbers, if available</t>
  </si>
  <si>
    <t>y</t>
  </si>
  <si>
    <t>DATA</t>
  </si>
  <si>
    <t>Sum of MEAV of asset classified in voltage tier</t>
  </si>
  <si>
    <t>Customer Call Centre</t>
  </si>
  <si>
    <t>Stores</t>
  </si>
  <si>
    <t>Total Non-operational New Assets &amp; Replacement</t>
  </si>
  <si>
    <t>Shetland Balancing Costs (SHEPD only)</t>
  </si>
  <si>
    <t>Reinforcement of 11kV circuits to enable at least 5MVA transfers from High Offley</t>
  </si>
  <si>
    <t>Hereford - Ledbury 66kV OHL reinforcement</t>
  </si>
  <si>
    <t>Gnosall 11kV reinforcement</t>
  </si>
  <si>
    <t>Installation of pole mounted voltage regulators to support the 11kV network.</t>
  </si>
  <si>
    <t>Presteigne - Knighton 66kV new line</t>
  </si>
  <si>
    <t>Installation of second 66kV line between Presteigne and Kington</t>
  </si>
  <si>
    <t>EHV/HV</t>
  </si>
  <si>
    <t>132kV/EHV</t>
  </si>
  <si>
    <t>Weighted by units flowing</t>
  </si>
  <si>
    <t>132kV</t>
  </si>
  <si>
    <t>MW</t>
  </si>
  <si>
    <t>EHV</t>
  </si>
  <si>
    <t>Total</t>
  </si>
  <si>
    <t>DEMANDS</t>
  </si>
  <si>
    <t>ALLOWED ITEMS</t>
  </si>
  <si>
    <t>Priestweston 33/11kV S/S reinforcement</t>
  </si>
  <si>
    <t>Hereford BSP GT3 replacement</t>
  </si>
  <si>
    <t>Complete reinstallation of GT3 (new transformer delivered to Upton Warren in 2008)</t>
  </si>
  <si>
    <t>Hereford South Additional Capacity</t>
  </si>
  <si>
    <t>Establishing new substation on reserved site (Wide Marsh Street)</t>
  </si>
  <si>
    <t>High Offley reinforcement</t>
  </si>
  <si>
    <t>Installation of additional transformer (10/15MVA)</t>
  </si>
  <si>
    <t>Hill Chorlton 33/11kV S/S reinforcement</t>
  </si>
  <si>
    <t>Installation of an additional 6/12MVA transformer at Bishops Castle. Replacement of 11kV switchgear</t>
  </si>
  <si>
    <t>Bishops Castle-Priestweston Interconnection</t>
  </si>
  <si>
    <t>Construction of 33kV interconnector between Bishops Castle and Priestweston (10km)</t>
  </si>
  <si>
    <t>Bishops Cleeve 66/11kV reinforcement</t>
  </si>
  <si>
    <t>11kV</t>
  </si>
  <si>
    <t>Installation of second 66/11kV transformer and 66kV section switch</t>
  </si>
  <si>
    <t>Bixhead 33/11kV reinforcement</t>
  </si>
  <si>
    <t>Upgrading two transformers and installation of a crossbay CB between T1 &amp; T2.</t>
  </si>
  <si>
    <t>Bloxham 66/11kV reinforcement</t>
  </si>
  <si>
    <t>66kV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</si>
  <si>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</si>
  <si>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</si>
  <si>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</si>
  <si>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</si>
  <si>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</si>
  <si>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</si>
  <si>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</si>
  <si>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</si>
  <si>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Reinforcement of 33kV interconnection or 132/33kV reinforcement</t>
  </si>
  <si>
    <t>Knypersley-Goldenhill-Talke Cct reinforcement</t>
  </si>
  <si>
    <t>a &amp; c</t>
  </si>
  <si>
    <t>Installation of a second 12/24MVA transformer</t>
  </si>
  <si>
    <t>Present value of total revenue</t>
  </si>
  <si>
    <t>Gross direct costs</t>
  </si>
  <si>
    <t>Customer contributions directs</t>
  </si>
  <si>
    <t>Chipping Sod - P2/5, Hammerley Down circuit</t>
  </si>
  <si>
    <t>j</t>
  </si>
  <si>
    <t>Rebuilding overhead line - 7km</t>
  </si>
  <si>
    <t>Chipping Sodbury 33kV Reinforcement</t>
  </si>
  <si>
    <t>11kV reinforcement</t>
  </si>
  <si>
    <t>Installation of third 132kV circuit from Bustleholm to Winson Green or Ladywood or 132kV interconnector from Ladywood to Summer Lane.</t>
  </si>
  <si>
    <t>Lichfield/Rugeley T group reinforcement (Lichfield - Burntwoodinterconnector)</t>
  </si>
  <si>
    <t>Unpicking Rugeley T circuit. 132kV Burntwood -Lichfield interconnection following route of redundant 33kV OHLs.</t>
  </si>
  <si>
    <t>Lower Chadnor</t>
  </si>
  <si>
    <t>Installation of third 132/11kV transformer and additional 11kV switchgear</t>
  </si>
  <si>
    <t>Installation of additional third transformer (12/24 MVA)</t>
  </si>
  <si>
    <t>Meaford West 33kV network Reinforcement (PHASE 2:Meaford - Hookgate (tee Market Drayton) 4th 33kV circuit)</t>
  </si>
  <si>
    <t>Establishment of 4th Meaford - Hookgate (tee Market Drayton) 33kV circuit</t>
  </si>
  <si>
    <t>Moreton 66/11kV reinforcement</t>
  </si>
  <si>
    <t>Uprating transformers at Moreton to 12/24MVA units and improving 11kV alternative supplies to Stow.</t>
  </si>
  <si>
    <t>New Birmingham City Centre primary Substation (site acquisition + preps only)</t>
  </si>
  <si>
    <t>Installation of third 12/24MVA transformer, 33kV crossbay and additional 11kV switchboard.</t>
  </si>
  <si>
    <t>Craven Arms reinforcement</t>
  </si>
  <si>
    <t>Upgrading at least 2 transformers to 12/24MVA and installation of a 33kV cross-bay.</t>
  </si>
  <si>
    <t>Dymock 66/11</t>
  </si>
  <si>
    <t>Option of installation of second transformer or strengthening 11kV interconnection</t>
  </si>
  <si>
    <t>Elmdon 132kV crossbay re-configuration</t>
  </si>
  <si>
    <t>Reinstallation of CB120 on cross-bay and associated protection modifications</t>
  </si>
  <si>
    <t>Endon reinforcement</t>
  </si>
  <si>
    <t>Upgrading transformers with 12/24 MVA units &amp; rationalisation of substation layout</t>
  </si>
  <si>
    <t>Evesham 66/11kV reinforcement</t>
  </si>
  <si>
    <t xml:space="preserve">Installation of an additional 66/11kV transformer and 11kV switch board </t>
  </si>
  <si>
    <t>Uprating the Feckenham – Bevington - Evesham circuits using 200AAAC POPLAR conductor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</si>
  <si>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</si>
  <si>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</si>
  <si>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</si>
  <si>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</si>
  <si>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</si>
  <si>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</si>
  <si>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Gloucester / Iron Acton Z Route</t>
  </si>
  <si>
    <t xml:space="preserve">Rebuilding Z route and interconnection from Iron Acton to Cambridge Arms switching site </t>
  </si>
  <si>
    <t>Installation of a crossbay at Cleobury Mortimer, a 33kV circuit from the Ludlow – Stockton 33kV circuit to Cleobury Mortimer tee, and 2 x 7.5/15MVA transformers at Cleobury Mortimer.</t>
  </si>
  <si>
    <t>Stowfield reinforcement</t>
  </si>
  <si>
    <t>Installation of interposing transformer to address phasing conflict. 11kV interconnection capacity to be reinforced.</t>
  </si>
  <si>
    <t>Summer Lane 132/11kV Reinforcement</t>
  </si>
  <si>
    <t xml:space="preserve">132kV mesh re-configuration. </t>
  </si>
  <si>
    <t xml:space="preserve">Tean 33/11kV reinforcement </t>
  </si>
  <si>
    <t>Network length split</t>
  </si>
  <si>
    <t>Discount matrix</t>
  </si>
  <si>
    <t>Installation of second 33/11kV transformer or 11kV interconnection.</t>
  </si>
  <si>
    <t>Quatt-Wribbenhall-Kinver 33kV ccts reinforcement</t>
  </si>
  <si>
    <t>Rebuilding Quatt-Wribbenhall - Kinver 33kV circuits</t>
  </si>
  <si>
    <t>Quedgeley Primary</t>
  </si>
  <si>
    <t>Installation of new Quedgeley 132/11kV substation</t>
  </si>
  <si>
    <t>Rugeley GSP reinforcement</t>
  </si>
  <si>
    <t>Installation of new GSP near Burntwood. Discussions with NG still ongoing on options (3rd SGT and circuit or new GSP)</t>
  </si>
  <si>
    <t>Selly Oak reinforcement</t>
  </si>
  <si>
    <t>Uprating transformer to 7.5/15MVA and possible 11kV reinforcement / interconnection to Coates Heath.</t>
  </si>
  <si>
    <t>Replacement of 132kV switchgear, upgrading single switch crossbay to 2 switches. Removal of redundant plant. Re routing cables</t>
  </si>
  <si>
    <t>Hinstock 33/11kV S/S reinforcement</t>
  </si>
  <si>
    <t>Installation of additional 7.5/15MVA transformer or uprating existing units</t>
  </si>
  <si>
    <t>Hookgate 33/11kV S/S reinforcement</t>
  </si>
  <si>
    <t>Installation of an additional transformer or 11kV reinforcement</t>
  </si>
  <si>
    <t>Ironbridge - Halesfield &amp; Madeley 33kV Reinforcement</t>
  </si>
  <si>
    <t>Installation of new 33kV circuits from Ironbridge to Madeley and from Madeley to Halesfield. Installation of a 33kV crossbay at Madeley.</t>
  </si>
  <si>
    <t>Ketley BSP reinforcement</t>
  </si>
  <si>
    <t>Commissioning of the transformer currently in position at Bodenham and installation of a 66kV bus-section circuit breaker.</t>
  </si>
  <si>
    <t xml:space="preserve">Bromyard 66kV Breaker </t>
  </si>
  <si>
    <t>g</t>
  </si>
  <si>
    <t>Installation of a 66kV mesh circuit breaker</t>
  </si>
  <si>
    <t>Cheadle 33/11kV reinforcement</t>
  </si>
  <si>
    <t>Replacement of transformers with 12/24MVA units.</t>
  </si>
  <si>
    <t>Installation of third 132kV circuit from Cellarhead to Whitfield or additional circuit from Cellarhead to supply SP Manweb directly, offloading the Cellarhead to Whitfield circuits.</t>
  </si>
  <si>
    <t>Whitfield 33/11kV reinforcement</t>
  </si>
  <si>
    <t>Uprating transformers to 2 x 12/24 units</t>
  </si>
  <si>
    <t/>
  </si>
  <si>
    <t>-</t>
  </si>
  <si>
    <t>Installation of additional transformer and possible upgrade of 11Kv interconnections</t>
  </si>
  <si>
    <t>Oldbury Group reinforcement</t>
  </si>
  <si>
    <t xml:space="preserve">Installation of a 132kV interconnection from Ocker Hill to Tividale. Installation of additional 132kV GIS switchgear required at Tividale. </t>
  </si>
  <si>
    <t>Pattingham 33kV crossbay re-configuration</t>
  </si>
  <si>
    <t>Installation of 33kV CB on crossbay and associated protection modifications</t>
  </si>
  <si>
    <t>Pontrilas voltage regulator</t>
  </si>
  <si>
    <t>Stagefields 132/11kV reinforcement (switchboard extension) + reinforcement</t>
  </si>
  <si>
    <t>Discounts</t>
  </si>
  <si>
    <t>New 132/11kV s/s in the eastside of the city centre to support new load and heavily loaded primaries. Acquire site in DPCR5</t>
  </si>
  <si>
    <t>New Whitfield-Knypersley 33kV cct</t>
  </si>
  <si>
    <t>Upgrading T2 from 5MVA to 15MVA. Establishing a new 33kV bay at Ludlow and a new 33kV circuit (15km) to Craven Arms.</t>
  </si>
  <si>
    <t>Installation of additional (3rd) Whitfield-Knypersley 33kV circuit (at least 41MVA)</t>
  </si>
  <si>
    <t>Newcastle - Scot Hay 33kC cct  reinforcement</t>
  </si>
  <si>
    <t>Uprating Newcastle - Scot Hay 33kV circuit.  Approx 4km 200mm2 AAAC gives 41MVA capacity</t>
  </si>
  <si>
    <t>Newcastle 132/11kV Reinforcement</t>
  </si>
  <si>
    <t>Installation of 3rd 132/11kV transformer and 11kV s/board. Replacement of 132/33kV transformer and decommissioning redundant 33kV s/gear</t>
  </si>
  <si>
    <t>Newent reinforcement</t>
  </si>
  <si>
    <t>Upgrading double circuit 11kV line from Newent to Dymock to 66kV.  Installation of second 6/12MVA transformer at Newent and new 11kV switchboard</t>
  </si>
  <si>
    <t>Oldbury 132/11kV reinforcement</t>
  </si>
  <si>
    <t>Rebuilding the Bixhead-Stowfield tee 33kV OHL</t>
  </si>
  <si>
    <t>Forsbrook/Meaford 33kV interconnection</t>
  </si>
  <si>
    <t>Reinforcement of 33kV interconnection between Meaford and Forsbrook BSP. Allows indefinite deferral of Meaford reinforcement.</t>
  </si>
  <si>
    <t>Installation of 11kV interconnector from Cheadle and uprating transformers from 2 x 5MVA to 2 x 12/24MVA units</t>
  </si>
  <si>
    <t>Walsall 132kV reconfiguration (to unpick temporary Bentley GT2 feeder tee to Walsall GT4)</t>
  </si>
  <si>
    <t>Unpick tee and prepare for link into 132kV feeder bay (403)</t>
  </si>
  <si>
    <t>Weir Hill Roushill group reinforcement 
Roushill 33/11kV Substation &amp; Rowton, harlescott, Malehurst, etc 33kV Ring</t>
  </si>
  <si>
    <t>b</t>
  </si>
  <si>
    <t>Transfer Roushill demand to Spring Gardens. Extension of the 33kV circuits from Roushill to the Rowton - Harlescott 33kV circuit.</t>
  </si>
  <si>
    <t>Whitfield - Endon 33kV Works (Whit End)</t>
  </si>
  <si>
    <t>f,j</t>
  </si>
  <si>
    <t>Reinforcement of circuit to 41MVA. Reconfiguration of circuits to teed transformer feeders.</t>
  </si>
  <si>
    <t>Whitfield 132kV group network reinforcement</t>
  </si>
  <si>
    <t>Forest Ring-Bixhead to Stowfield tee</t>
  </si>
  <si>
    <t>Options</t>
  </si>
  <si>
    <t>DCP071</t>
  </si>
  <si>
    <t>LV demand end user</t>
  </si>
  <si>
    <t>LV Sub demand or LV generation end user</t>
  </si>
  <si>
    <t>HV demand or LV Sub generation end user</t>
  </si>
  <si>
    <t>Hinksford 132kV reinforcement and 132kV siwtchgear replacement (new 2 switch crossbay)</t>
  </si>
  <si>
    <t>Uprating 2 x 5MVA transformers with 7.5/15MVA units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</si>
</sst>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%"/>
    <numFmt numFmtId="171" formatCode="0.0000"/>
    <numFmt numFmtId="172" formatCode="0.000"/>
    <numFmt numFmtId="173" formatCode="0.0"/>
    <numFmt numFmtId="174" formatCode="#,##0_);[Red]\(#,##0\);\-"/>
    <numFmt numFmtId="175" formatCode="#,##0.000;[Red]\-#,##0.000;"/>
    <numFmt numFmtId="176" formatCode="#,##0.000;[Red]\-#,##0.000;\-"/>
    <numFmt numFmtId="177" formatCode="_(* #,##0_);_(* \(#,##0\);_(* &quot;-&quot;??_);_(@_)"/>
    <numFmt numFmtId="178" formatCode="#,##0;[Red]\-#,##0;\-"/>
    <numFmt numFmtId="179" formatCode="_-* #,##0.000_-;\-* #,##0.000_-;_-* &quot;-&quot;??_-;_-@_-"/>
    <numFmt numFmtId="180" formatCode="#,##0.0_);[Red]\(#,##0.0\);\-"/>
    <numFmt numFmtId="181" formatCode="0.00000%"/>
    <numFmt numFmtId="182" formatCode="0;\(0\)"/>
    <numFmt numFmtId="183" formatCode="0;[Red]\(0\);\-"/>
    <numFmt numFmtId="184" formatCode="_(* #,##0.0_);_(* \(#,##0.0\);_(* &quot;-&quot;?_);_(@_)"/>
    <numFmt numFmtId="185" formatCode="0.000;\-0.000;"/>
    <numFmt numFmtId="186" formatCode="_(??0.0%_);[Red]\(??0.0%\);"/>
    <numFmt numFmtId="187" formatCode="#,##0.000"/>
    <numFmt numFmtId="188" formatCode="#,##0.0"/>
    <numFmt numFmtId="189" formatCode="??0.0%;[Red]\(??0.0%\);"/>
    <numFmt numFmtId="190" formatCode="\ _(??0.0%_);[Red]\ \(??0.0%\);"/>
  </numFmts>
  <fonts count="8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0"/>
      <name val="Verdana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5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0" fillId="0" borderId="11" xfId="0" applyBorder="1" applyAlignment="1">
      <alignment/>
    </xf>
    <xf numFmtId="9" fontId="0" fillId="0" borderId="12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3" xfId="7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0" fontId="0" fillId="0" borderId="12" xfId="0" applyNumberForma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9" fontId="0" fillId="0" borderId="12" xfId="71" applyFont="1" applyBorder="1" applyAlignment="1">
      <alignment vertical="top"/>
    </xf>
    <xf numFmtId="10" fontId="0" fillId="0" borderId="13" xfId="71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1" fontId="11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Border="1" applyAlignment="1" applyProtection="1">
      <alignment/>
      <protection/>
    </xf>
    <xf numFmtId="0" fontId="10" fillId="0" borderId="0" xfId="65" applyFont="1" applyFill="1" applyBorder="1" applyProtection="1">
      <alignment/>
      <protection/>
    </xf>
    <xf numFmtId="0" fontId="11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10" fillId="0" borderId="0" xfId="65" applyNumberFormat="1" applyFont="1" applyFill="1" applyBorder="1" applyAlignment="1" applyProtection="1">
      <alignment wrapText="1"/>
      <protection/>
    </xf>
    <xf numFmtId="1" fontId="11" fillId="0" borderId="0" xfId="65" applyNumberFormat="1" applyFont="1" applyFill="1" applyBorder="1" applyAlignment="1" applyProtection="1">
      <alignment horizontal="center" wrapText="1"/>
      <protection/>
    </xf>
    <xf numFmtId="1" fontId="11" fillId="0" borderId="0" xfId="65" applyNumberFormat="1" applyFont="1" applyFill="1" applyBorder="1" applyAlignment="1" applyProtection="1">
      <alignment horizontal="center" vertical="center" wrapText="1"/>
      <protection/>
    </xf>
    <xf numFmtId="1" fontId="10" fillId="0" borderId="0" xfId="65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65" applyFont="1" applyFill="1" applyBorder="1" applyAlignment="1" applyProtection="1">
      <alignment horizontal="center"/>
      <protection/>
    </xf>
    <xf numFmtId="173" fontId="10" fillId="0" borderId="0" xfId="0" applyNumberFormat="1" applyFont="1" applyFill="1" applyBorder="1" applyAlignment="1" applyProtection="1">
      <alignment horizontal="center" vertical="center"/>
      <protection/>
    </xf>
    <xf numFmtId="173" fontId="10" fillId="0" borderId="0" xfId="66" applyNumberFormat="1" applyFont="1" applyFill="1" applyBorder="1" applyAlignment="1" applyProtection="1">
      <alignment horizontal="center" vertical="center"/>
      <protection/>
    </xf>
    <xf numFmtId="1" fontId="11" fillId="0" borderId="0" xfId="65" applyNumberFormat="1" applyFont="1" applyFill="1" applyBorder="1" applyProtection="1">
      <alignment/>
      <protection/>
    </xf>
    <xf numFmtId="174" fontId="12" fillId="0" borderId="0" xfId="65" applyNumberFormat="1" applyFont="1" applyFill="1" applyBorder="1" applyProtection="1">
      <alignment/>
      <protection/>
    </xf>
    <xf numFmtId="0" fontId="10" fillId="0" borderId="0" xfId="62" applyFont="1" applyFill="1" applyBorder="1" applyAlignment="1" applyProtection="1">
      <alignment/>
      <protection/>
    </xf>
    <xf numFmtId="1" fontId="10" fillId="0" borderId="0" xfId="66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5" xfId="0" applyNumberFormat="1" applyBorder="1" applyAlignment="1">
      <alignment/>
    </xf>
    <xf numFmtId="9" fontId="0" fillId="0" borderId="11" xfId="71" applyFont="1" applyBorder="1" applyAlignment="1">
      <alignment/>
    </xf>
    <xf numFmtId="10" fontId="0" fillId="0" borderId="14" xfId="0" applyNumberFormat="1" applyBorder="1" applyAlignment="1">
      <alignment vertical="top"/>
    </xf>
    <xf numFmtId="9" fontId="0" fillId="0" borderId="17" xfId="7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10" fontId="0" fillId="0" borderId="19" xfId="71" applyNumberFormat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0" fontId="14" fillId="0" borderId="17" xfId="71" applyNumberFormat="1" applyFont="1" applyBorder="1" applyAlignment="1" applyProtection="1">
      <alignment horizontal="center" vertical="center" wrapText="1"/>
      <protection/>
    </xf>
    <xf numFmtId="173" fontId="14" fillId="0" borderId="0" xfId="68" applyNumberFormat="1" applyFont="1" applyBorder="1" applyAlignment="1" applyProtection="1">
      <alignment horizontal="center" vertical="center" wrapText="1"/>
      <protection/>
    </xf>
    <xf numFmtId="173" fontId="14" fillId="0" borderId="18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4" fillId="36" borderId="25" xfId="68" applyFont="1" applyFill="1" applyBorder="1" applyAlignment="1">
      <alignment horizontal="left" vertical="center" wrapText="1"/>
      <protection/>
    </xf>
    <xf numFmtId="170" fontId="14" fillId="0" borderId="17" xfId="71" applyNumberFormat="1" applyFont="1" applyFill="1" applyBorder="1" applyAlignment="1" applyProtection="1">
      <alignment horizontal="center" vertical="center" wrapText="1"/>
      <protection/>
    </xf>
    <xf numFmtId="173" fontId="14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4" fillId="37" borderId="25" xfId="68" applyFont="1" applyFill="1" applyBorder="1" applyAlignment="1">
      <alignment horizontal="left" vertical="center" wrapText="1"/>
      <protection/>
    </xf>
    <xf numFmtId="0" fontId="14" fillId="0" borderId="12" xfId="68" applyFont="1" applyBorder="1" applyAlignment="1">
      <alignment horizontal="left" vertical="center" wrapText="1"/>
      <protection/>
    </xf>
    <xf numFmtId="170" fontId="14" fillId="0" borderId="17" xfId="71" applyNumberFormat="1" applyFont="1" applyBorder="1" applyAlignment="1">
      <alignment horizontal="center" vertical="center" wrapText="1"/>
    </xf>
    <xf numFmtId="0" fontId="14" fillId="0" borderId="10" xfId="68" applyFont="1" applyBorder="1" applyAlignment="1">
      <alignment horizontal="left" vertical="center" wrapText="1"/>
      <protection/>
    </xf>
    <xf numFmtId="0" fontId="14" fillId="0" borderId="13" xfId="68" applyFont="1" applyBorder="1" applyAlignment="1">
      <alignment horizontal="left" vertical="center" wrapText="1"/>
      <protection/>
    </xf>
    <xf numFmtId="173" fontId="19" fillId="0" borderId="0" xfId="68" applyNumberFormat="1" applyFont="1" applyFill="1" applyBorder="1" applyAlignment="1" applyProtection="1">
      <alignment horizontal="left" vertical="center" wrapText="1"/>
      <protection/>
    </xf>
    <xf numFmtId="170" fontId="19" fillId="0" borderId="0" xfId="71" applyNumberFormat="1" applyFont="1" applyFill="1" applyBorder="1" applyAlignment="1" applyProtection="1">
      <alignment horizontal="center" vertical="center" wrapText="1"/>
      <protection/>
    </xf>
    <xf numFmtId="173" fontId="19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14" fillId="0" borderId="14" xfId="68" applyFont="1" applyBorder="1" applyAlignment="1">
      <alignment horizontal="center" vertical="center" wrapText="1"/>
      <protection/>
    </xf>
    <xf numFmtId="0" fontId="14" fillId="0" borderId="17" xfId="68" applyFont="1" applyBorder="1" applyAlignment="1">
      <alignment horizontal="center" vertical="center" wrapText="1"/>
      <protection/>
    </xf>
    <xf numFmtId="173" fontId="14" fillId="0" borderId="10" xfId="68" applyNumberFormat="1" applyFont="1" applyBorder="1" applyAlignment="1" applyProtection="1">
      <alignment horizontal="left" vertical="center" wrapText="1"/>
      <protection/>
    </xf>
    <xf numFmtId="173" fontId="14" fillId="0" borderId="12" xfId="68" applyNumberFormat="1" applyFont="1" applyBorder="1" applyAlignment="1" applyProtection="1">
      <alignment horizontal="left" vertical="center" wrapText="1"/>
      <protection/>
    </xf>
    <xf numFmtId="173" fontId="14" fillId="0" borderId="12" xfId="68" applyNumberFormat="1" applyFont="1" applyFill="1" applyBorder="1" applyAlignment="1" applyProtection="1">
      <alignment horizontal="left" vertical="center" wrapText="1"/>
      <protection/>
    </xf>
    <xf numFmtId="0" fontId="15" fillId="0" borderId="11" xfId="68" applyFont="1" applyBorder="1" applyAlignment="1">
      <alignment horizontal="left" vertical="center" wrapText="1"/>
      <protection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73" fontId="7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7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173" fontId="14" fillId="0" borderId="12" xfId="68" applyNumberFormat="1" applyFont="1" applyBorder="1" applyAlignment="1" applyProtection="1">
      <alignment horizontal="center" vertical="center" wrapText="1"/>
      <protection/>
    </xf>
    <xf numFmtId="173" fontId="14" fillId="0" borderId="10" xfId="68" applyNumberFormat="1" applyFont="1" applyBorder="1" applyAlignment="1" applyProtection="1">
      <alignment horizontal="center" vertical="center" wrapText="1"/>
      <protection/>
    </xf>
    <xf numFmtId="173" fontId="14" fillId="0" borderId="12" xfId="68" applyNumberFormat="1" applyFont="1" applyFill="1" applyBorder="1" applyAlignment="1" applyProtection="1">
      <alignment horizontal="center" vertical="center" wrapText="1"/>
      <protection/>
    </xf>
    <xf numFmtId="173" fontId="14" fillId="0" borderId="10" xfId="68" applyNumberFormat="1" applyFont="1" applyBorder="1" applyAlignment="1">
      <alignment horizontal="center" vertical="center" wrapText="1"/>
      <protection/>
    </xf>
    <xf numFmtId="173" fontId="14" fillId="0" borderId="12" xfId="68" applyNumberFormat="1" applyFont="1" applyBorder="1" applyAlignment="1">
      <alignment horizontal="center" vertical="center" wrapText="1"/>
      <protection/>
    </xf>
    <xf numFmtId="173" fontId="14" fillId="0" borderId="13" xfId="68" applyNumberFormat="1" applyFont="1" applyBorder="1" applyAlignment="1">
      <alignment horizontal="center" vertical="center" wrapText="1"/>
      <protection/>
    </xf>
    <xf numFmtId="173" fontId="15" fillId="0" borderId="11" xfId="68" applyNumberFormat="1" applyFont="1" applyBorder="1" applyAlignment="1">
      <alignment horizontal="center" vertical="center" wrapText="1"/>
      <protection/>
    </xf>
    <xf numFmtId="173" fontId="15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7" fillId="0" borderId="13" xfId="0" applyFont="1" applyBorder="1" applyAlignment="1">
      <alignment vertical="top"/>
    </xf>
    <xf numFmtId="173" fontId="14" fillId="0" borderId="0" xfId="68" applyNumberFormat="1" applyFont="1" applyBorder="1" applyAlignment="1">
      <alignment horizontal="center" vertical="center" wrapText="1"/>
      <protection/>
    </xf>
    <xf numFmtId="173" fontId="14" fillId="0" borderId="13" xfId="68" applyNumberFormat="1" applyFont="1" applyBorder="1" applyAlignment="1" applyProtection="1">
      <alignment horizontal="center" vertical="center" wrapText="1"/>
      <protection/>
    </xf>
    <xf numFmtId="173" fontId="0" fillId="0" borderId="27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9" fontId="14" fillId="0" borderId="12" xfId="7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173" fontId="0" fillId="0" borderId="10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14" fillId="0" borderId="13" xfId="68" applyNumberFormat="1" applyFont="1" applyFill="1" applyBorder="1" applyAlignment="1" applyProtection="1">
      <alignment horizontal="center" vertical="center" wrapText="1"/>
      <protection/>
    </xf>
    <xf numFmtId="173" fontId="0" fillId="0" borderId="14" xfId="0" applyNumberFormat="1" applyBorder="1" applyAlignment="1">
      <alignment/>
    </xf>
    <xf numFmtId="173" fontId="0" fillId="0" borderId="19" xfId="0" applyNumberFormat="1" applyBorder="1" applyAlignment="1">
      <alignment/>
    </xf>
    <xf numFmtId="0" fontId="15" fillId="0" borderId="0" xfId="68" applyFont="1" applyBorder="1" applyAlignment="1">
      <alignment horizontal="left" vertical="center" wrapText="1"/>
      <protection/>
    </xf>
    <xf numFmtId="173" fontId="15" fillId="0" borderId="0" xfId="68" applyNumberFormat="1" applyFont="1" applyBorder="1" applyAlignment="1">
      <alignment horizontal="center" vertical="center" wrapText="1"/>
      <protection/>
    </xf>
    <xf numFmtId="9" fontId="14" fillId="0" borderId="0" xfId="71" applyFont="1" applyBorder="1" applyAlignment="1" applyProtection="1">
      <alignment horizontal="center" vertical="center" wrapText="1"/>
      <protection/>
    </xf>
    <xf numFmtId="9" fontId="0" fillId="0" borderId="24" xfId="71" applyFon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0" xfId="0" applyNumberFormat="1" applyBorder="1" applyAlignment="1">
      <alignment horizontal="center" vertical="center"/>
    </xf>
    <xf numFmtId="176" fontId="0" fillId="38" borderId="0" xfId="0" applyNumberFormat="1" applyFill="1" applyAlignment="1" applyProtection="1">
      <alignment/>
      <protection locked="0"/>
    </xf>
    <xf numFmtId="176" fontId="0" fillId="39" borderId="0" xfId="0" applyNumberFormat="1" applyFill="1" applyAlignment="1">
      <alignment/>
    </xf>
    <xf numFmtId="17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8" fontId="0" fillId="39" borderId="0" xfId="0" applyNumberFormat="1" applyFill="1" applyAlignment="1">
      <alignment/>
    </xf>
    <xf numFmtId="0" fontId="0" fillId="0" borderId="12" xfId="0" applyBorder="1" applyAlignment="1">
      <alignment horizontal="center"/>
    </xf>
    <xf numFmtId="173" fontId="15" fillId="0" borderId="24" xfId="68" applyNumberFormat="1" applyFont="1" applyBorder="1" applyAlignment="1">
      <alignment horizontal="center" vertical="center" wrapText="1"/>
      <protection/>
    </xf>
    <xf numFmtId="173" fontId="15" fillId="0" borderId="14" xfId="68" applyNumberFormat="1" applyFont="1" applyBorder="1" applyAlignment="1" applyProtection="1">
      <alignment horizontal="center" vertical="center" wrapText="1"/>
      <protection/>
    </xf>
    <xf numFmtId="173" fontId="15" fillId="0" borderId="12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9" fontId="0" fillId="0" borderId="0" xfId="71" applyFont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9" fontId="0" fillId="40" borderId="28" xfId="71" applyFont="1" applyFill="1" applyBorder="1" applyAlignment="1">
      <alignment/>
    </xf>
    <xf numFmtId="0" fontId="0" fillId="40" borderId="26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30" xfId="0" applyFill="1" applyBorder="1" applyAlignment="1">
      <alignment/>
    </xf>
    <xf numFmtId="0" fontId="0" fillId="41" borderId="0" xfId="0" applyFill="1" applyAlignment="1">
      <alignment/>
    </xf>
    <xf numFmtId="173" fontId="0" fillId="41" borderId="0" xfId="0" applyNumberFormat="1" applyFill="1" applyAlignment="1">
      <alignment/>
    </xf>
    <xf numFmtId="0" fontId="16" fillId="41" borderId="0" xfId="0" applyFont="1" applyFill="1" applyAlignment="1">
      <alignment horizontal="center"/>
    </xf>
    <xf numFmtId="170" fontId="0" fillId="0" borderId="0" xfId="71" applyNumberFormat="1" applyFont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31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173" fontId="0" fillId="41" borderId="26" xfId="0" applyNumberFormat="1" applyFill="1" applyBorder="1" applyAlignment="1">
      <alignment/>
    </xf>
    <xf numFmtId="173" fontId="0" fillId="41" borderId="0" xfId="0" applyNumberFormat="1" applyFill="1" applyBorder="1" applyAlignment="1">
      <alignment/>
    </xf>
    <xf numFmtId="43" fontId="0" fillId="41" borderId="26" xfId="0" applyNumberFormat="1" applyFill="1" applyBorder="1" applyAlignment="1">
      <alignment horizontal="center"/>
    </xf>
    <xf numFmtId="43" fontId="0" fillId="41" borderId="0" xfId="0" applyNumberFormat="1" applyFill="1" applyBorder="1" applyAlignment="1">
      <alignment horizontal="center"/>
    </xf>
    <xf numFmtId="43" fontId="0" fillId="41" borderId="31" xfId="0" applyNumberFormat="1" applyFill="1" applyBorder="1" applyAlignment="1">
      <alignment/>
    </xf>
    <xf numFmtId="9" fontId="0" fillId="41" borderId="26" xfId="71" applyFont="1" applyFill="1" applyBorder="1" applyAlignment="1">
      <alignment horizontal="center"/>
    </xf>
    <xf numFmtId="9" fontId="0" fillId="41" borderId="0" xfId="71" applyFont="1" applyFill="1" applyBorder="1" applyAlignment="1">
      <alignment horizontal="center"/>
    </xf>
    <xf numFmtId="9" fontId="0" fillId="41" borderId="31" xfId="71" applyFont="1" applyFill="1" applyBorder="1" applyAlignment="1">
      <alignment/>
    </xf>
    <xf numFmtId="9" fontId="0" fillId="41" borderId="0" xfId="71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32" xfId="0" applyFill="1" applyBorder="1" applyAlignment="1">
      <alignment/>
    </xf>
    <xf numFmtId="9" fontId="0" fillId="41" borderId="30" xfId="71" applyFont="1" applyFill="1" applyBorder="1" applyAlignment="1">
      <alignment/>
    </xf>
    <xf numFmtId="0" fontId="0" fillId="41" borderId="24" xfId="0" applyFill="1" applyBorder="1" applyAlignment="1">
      <alignment horizontal="center" wrapText="1"/>
    </xf>
    <xf numFmtId="0" fontId="0" fillId="41" borderId="14" xfId="0" applyFill="1" applyBorder="1" applyAlignment="1">
      <alignment wrapText="1"/>
    </xf>
    <xf numFmtId="0" fontId="0" fillId="41" borderId="10" xfId="0" applyFill="1" applyBorder="1" applyAlignment="1">
      <alignment horizontal="center"/>
    </xf>
    <xf numFmtId="0" fontId="0" fillId="41" borderId="24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7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8" xfId="0" applyFill="1" applyBorder="1" applyAlignment="1">
      <alignment/>
    </xf>
    <xf numFmtId="1" fontId="0" fillId="41" borderId="0" xfId="0" applyNumberFormat="1" applyFill="1" applyBorder="1" applyAlignment="1">
      <alignment horizontal="center"/>
    </xf>
    <xf numFmtId="0" fontId="0" fillId="36" borderId="26" xfId="0" applyFill="1" applyBorder="1" applyAlignment="1">
      <alignment/>
    </xf>
    <xf numFmtId="173" fontId="0" fillId="41" borderId="17" xfId="0" applyNumberFormat="1" applyFill="1" applyBorder="1" applyAlignment="1">
      <alignment horizontal="center"/>
    </xf>
    <xf numFmtId="173" fontId="0" fillId="41" borderId="0" xfId="0" applyNumberFormat="1" applyFill="1" applyBorder="1" applyAlignment="1">
      <alignment horizontal="center"/>
    </xf>
    <xf numFmtId="173" fontId="0" fillId="41" borderId="18" xfId="0" applyNumberFormat="1" applyFill="1" applyBorder="1" applyAlignment="1">
      <alignment horizontal="center"/>
    </xf>
    <xf numFmtId="179" fontId="0" fillId="41" borderId="17" xfId="42" applyNumberFormat="1" applyFont="1" applyFill="1" applyBorder="1" applyAlignment="1">
      <alignment/>
    </xf>
    <xf numFmtId="179" fontId="0" fillId="41" borderId="0" xfId="42" applyNumberFormat="1" applyFont="1" applyFill="1" applyBorder="1" applyAlignment="1">
      <alignment/>
    </xf>
    <xf numFmtId="9" fontId="0" fillId="41" borderId="17" xfId="71" applyFont="1" applyFill="1" applyBorder="1" applyAlignment="1">
      <alignment/>
    </xf>
    <xf numFmtId="179" fontId="0" fillId="41" borderId="17" xfId="71" applyNumberFormat="1" applyFont="1" applyFill="1" applyBorder="1" applyAlignment="1">
      <alignment/>
    </xf>
    <xf numFmtId="179" fontId="0" fillId="41" borderId="0" xfId="71" applyNumberFormat="1" applyFont="1" applyFill="1" applyBorder="1" applyAlignment="1">
      <alignment/>
    </xf>
    <xf numFmtId="179" fontId="0" fillId="41" borderId="18" xfId="71" applyNumberFormat="1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13" xfId="0" applyFill="1" applyBorder="1" applyAlignment="1">
      <alignment/>
    </xf>
    <xf numFmtId="9" fontId="0" fillId="41" borderId="19" xfId="71" applyFont="1" applyFill="1" applyBorder="1" applyAlignment="1">
      <alignment horizontal="center"/>
    </xf>
    <xf numFmtId="9" fontId="0" fillId="41" borderId="27" xfId="71" applyFont="1" applyFill="1" applyBorder="1" applyAlignment="1">
      <alignment/>
    </xf>
    <xf numFmtId="9" fontId="0" fillId="41" borderId="19" xfId="71" applyFon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Alignment="1">
      <alignment/>
    </xf>
    <xf numFmtId="0" fontId="14" fillId="37" borderId="27" xfId="68" applyFont="1" applyFill="1" applyBorder="1" applyAlignment="1">
      <alignment horizontal="left" vertical="center" wrapText="1"/>
      <protection/>
    </xf>
    <xf numFmtId="173" fontId="14" fillId="0" borderId="13" xfId="68" applyNumberFormat="1" applyFont="1" applyBorder="1" applyAlignment="1" applyProtection="1">
      <alignment horizontal="left" vertical="center" wrapText="1"/>
      <protection/>
    </xf>
    <xf numFmtId="9" fontId="14" fillId="0" borderId="10" xfId="71" applyFont="1" applyBorder="1" applyAlignment="1" applyProtection="1">
      <alignment horizontal="center" vertical="center" wrapText="1"/>
      <protection/>
    </xf>
    <xf numFmtId="9" fontId="14" fillId="0" borderId="13" xfId="7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72" fontId="0" fillId="0" borderId="12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25" xfId="0" applyBorder="1" applyAlignment="1">
      <alignment horizontal="center" vertical="top" wrapText="1"/>
    </xf>
    <xf numFmtId="170" fontId="14" fillId="0" borderId="19" xfId="71" applyNumberFormat="1" applyFont="1" applyBorder="1" applyAlignment="1" applyProtection="1">
      <alignment horizontal="center" vertical="center" wrapText="1"/>
      <protection/>
    </xf>
    <xf numFmtId="173" fontId="14" fillId="0" borderId="27" xfId="68" applyNumberFormat="1" applyFont="1" applyBorder="1" applyAlignment="1" applyProtection="1">
      <alignment horizontal="center" vertical="center" wrapText="1"/>
      <protection/>
    </xf>
    <xf numFmtId="173" fontId="14" fillId="0" borderId="20" xfId="68" applyNumberFormat="1" applyFont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vertical="top" wrapText="1"/>
    </xf>
    <xf numFmtId="9" fontId="0" fillId="0" borderId="16" xfId="71" applyFont="1" applyBorder="1" applyAlignment="1">
      <alignment/>
    </xf>
    <xf numFmtId="9" fontId="0" fillId="0" borderId="18" xfId="71" applyFont="1" applyBorder="1" applyAlignment="1">
      <alignment/>
    </xf>
    <xf numFmtId="9" fontId="0" fillId="0" borderId="20" xfId="71" applyFont="1" applyBorder="1" applyAlignment="1">
      <alignment/>
    </xf>
    <xf numFmtId="0" fontId="5" fillId="35" borderId="13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35" borderId="18" xfId="0" applyFont="1" applyFill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181" fontId="0" fillId="0" borderId="0" xfId="71" applyNumberFormat="1" applyFont="1" applyFill="1" applyBorder="1" applyAlignment="1">
      <alignment horizontal="center"/>
    </xf>
    <xf numFmtId="173" fontId="14" fillId="0" borderId="24" xfId="68" applyNumberFormat="1" applyFont="1" applyBorder="1" applyAlignment="1" applyProtection="1">
      <alignment horizontal="center" vertical="center" wrapText="1"/>
      <protection/>
    </xf>
    <xf numFmtId="173" fontId="14" fillId="0" borderId="16" xfId="6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vertical="top" wrapText="1"/>
    </xf>
    <xf numFmtId="0" fontId="15" fillId="0" borderId="10" xfId="68" applyFont="1" applyBorder="1" applyAlignment="1">
      <alignment horizontal="left" vertical="center" wrapText="1"/>
      <protection/>
    </xf>
    <xf numFmtId="0" fontId="15" fillId="0" borderId="24" xfId="68" applyFont="1" applyBorder="1" applyAlignment="1">
      <alignment horizontal="left" vertical="center" wrapText="1"/>
      <protection/>
    </xf>
    <xf numFmtId="172" fontId="0" fillId="0" borderId="14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70" fontId="14" fillId="0" borderId="14" xfId="71" applyNumberFormat="1" applyFont="1" applyFill="1" applyBorder="1" applyAlignment="1" applyProtection="1">
      <alignment horizontal="center" vertical="center" wrapText="1"/>
      <protection/>
    </xf>
    <xf numFmtId="170" fontId="14" fillId="0" borderId="19" xfId="71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vertical="top" wrapText="1"/>
    </xf>
    <xf numFmtId="170" fontId="5" fillId="0" borderId="15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/>
    </xf>
    <xf numFmtId="170" fontId="5" fillId="0" borderId="16" xfId="0" applyNumberFormat="1" applyFont="1" applyBorder="1" applyAlignment="1">
      <alignment horizontal="center"/>
    </xf>
    <xf numFmtId="170" fontId="5" fillId="0" borderId="25" xfId="0" applyNumberFormat="1" applyFont="1" applyBorder="1" applyAlignment="1">
      <alignment horizontal="center" vertical="center"/>
    </xf>
    <xf numFmtId="170" fontId="5" fillId="0" borderId="2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73" fontId="21" fillId="0" borderId="0" xfId="0" applyNumberFormat="1" applyFont="1" applyFill="1" applyAlignment="1">
      <alignment/>
    </xf>
    <xf numFmtId="0" fontId="21" fillId="42" borderId="0" xfId="0" applyFont="1" applyFill="1" applyAlignment="1">
      <alignment/>
    </xf>
    <xf numFmtId="0" fontId="21" fillId="42" borderId="0" xfId="0" applyFont="1" applyFill="1" applyAlignment="1">
      <alignment/>
    </xf>
    <xf numFmtId="173" fontId="21" fillId="42" borderId="0" xfId="0" applyNumberFormat="1" applyFont="1" applyFill="1" applyAlignment="1">
      <alignment/>
    </xf>
    <xf numFmtId="0" fontId="0" fillId="40" borderId="0" xfId="0" applyFont="1" applyFill="1" applyBorder="1" applyAlignment="1">
      <alignment/>
    </xf>
    <xf numFmtId="9" fontId="5" fillId="0" borderId="15" xfId="71" applyFont="1" applyBorder="1" applyAlignment="1">
      <alignment horizontal="center"/>
    </xf>
    <xf numFmtId="9" fontId="5" fillId="0" borderId="25" xfId="71" applyFont="1" applyBorder="1" applyAlignment="1">
      <alignment horizontal="center"/>
    </xf>
    <xf numFmtId="9" fontId="5" fillId="0" borderId="21" xfId="71" applyFont="1" applyBorder="1" applyAlignment="1">
      <alignment horizontal="center"/>
    </xf>
    <xf numFmtId="170" fontId="0" fillId="0" borderId="0" xfId="71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/>
      <protection/>
    </xf>
    <xf numFmtId="1" fontId="15" fillId="0" borderId="22" xfId="64" applyNumberFormat="1" applyFont="1" applyBorder="1" applyProtection="1">
      <alignment/>
      <protection/>
    </xf>
    <xf numFmtId="1" fontId="15" fillId="0" borderId="23" xfId="64" applyNumberFormat="1" applyFont="1" applyBorder="1" applyProtection="1">
      <alignment/>
      <protection/>
    </xf>
    <xf numFmtId="1" fontId="15" fillId="0" borderId="33" xfId="64" applyNumberFormat="1" applyFont="1" applyBorder="1" applyProtection="1">
      <alignment/>
      <protection/>
    </xf>
    <xf numFmtId="1" fontId="14" fillId="0" borderId="26" xfId="64" applyNumberFormat="1" applyFont="1" applyBorder="1" applyAlignment="1" applyProtection="1">
      <alignment wrapText="1"/>
      <protection/>
    </xf>
    <xf numFmtId="1" fontId="15" fillId="0" borderId="0" xfId="64" applyNumberFormat="1" applyFont="1" applyBorder="1" applyAlignment="1" applyProtection="1">
      <alignment wrapText="1"/>
      <protection/>
    </xf>
    <xf numFmtId="1" fontId="15" fillId="0" borderId="34" xfId="64" applyNumberFormat="1" applyFont="1" applyBorder="1" applyAlignment="1" applyProtection="1">
      <alignment horizontal="center" wrapText="1"/>
      <protection/>
    </xf>
    <xf numFmtId="1" fontId="15" fillId="0" borderId="33" xfId="64" applyNumberFormat="1" applyFont="1" applyBorder="1" applyAlignment="1" applyProtection="1">
      <alignment horizontal="center" vertical="center" wrapText="1"/>
      <protection/>
    </xf>
    <xf numFmtId="1" fontId="15" fillId="0" borderId="31" xfId="64" applyNumberFormat="1" applyFont="1" applyBorder="1" applyAlignment="1" applyProtection="1">
      <alignment horizontal="center" vertical="center" wrapText="1"/>
      <protection/>
    </xf>
    <xf numFmtId="1" fontId="15" fillId="0" borderId="29" xfId="64" applyNumberFormat="1" applyFont="1" applyBorder="1" applyProtection="1">
      <alignment/>
      <protection/>
    </xf>
    <xf numFmtId="1" fontId="15" fillId="0" borderId="30" xfId="64" applyNumberFormat="1" applyFont="1" applyBorder="1" applyProtection="1">
      <alignment/>
      <protection/>
    </xf>
    <xf numFmtId="1" fontId="14" fillId="0" borderId="26" xfId="64" applyNumberFormat="1" applyFont="1" applyFill="1" applyBorder="1" applyProtection="1">
      <alignment/>
      <protection/>
    </xf>
    <xf numFmtId="0" fontId="15" fillId="0" borderId="0" xfId="64" applyFont="1" applyBorder="1" applyAlignment="1" applyProtection="1">
      <alignment/>
      <protection/>
    </xf>
    <xf numFmtId="0" fontId="14" fillId="0" borderId="0" xfId="64" applyFont="1" applyBorder="1" applyProtection="1">
      <alignment/>
      <protection/>
    </xf>
    <xf numFmtId="1" fontId="14" fillId="0" borderId="33" xfId="64" applyNumberFormat="1" applyFont="1" applyFill="1" applyBorder="1" applyAlignment="1" applyProtection="1">
      <alignment horizontal="center"/>
      <protection/>
    </xf>
    <xf numFmtId="1" fontId="14" fillId="0" borderId="35" xfId="64" applyNumberFormat="1" applyFont="1" applyFill="1" applyBorder="1" applyAlignment="1" applyProtection="1">
      <alignment horizontal="center"/>
      <protection/>
    </xf>
    <xf numFmtId="1" fontId="14" fillId="0" borderId="36" xfId="64" applyNumberFormat="1" applyFont="1" applyFill="1" applyBorder="1" applyAlignment="1" applyProtection="1">
      <alignment horizontal="center"/>
      <protection/>
    </xf>
    <xf numFmtId="1" fontId="14" fillId="0" borderId="37" xfId="64" applyNumberFormat="1" applyFont="1" applyFill="1" applyBorder="1" applyAlignment="1" applyProtection="1">
      <alignment horizontal="center"/>
      <protection/>
    </xf>
    <xf numFmtId="0" fontId="15" fillId="0" borderId="0" xfId="64" applyFont="1" applyBorder="1" applyProtection="1">
      <alignment/>
      <protection/>
    </xf>
    <xf numFmtId="1" fontId="14" fillId="0" borderId="34" xfId="64" applyNumberFormat="1" applyFont="1" applyFill="1" applyBorder="1" applyAlignment="1" applyProtection="1">
      <alignment horizontal="center"/>
      <protection/>
    </xf>
    <xf numFmtId="1" fontId="14" fillId="0" borderId="38" xfId="64" applyNumberFormat="1" applyFont="1" applyFill="1" applyBorder="1" applyAlignment="1" applyProtection="1">
      <alignment horizontal="center"/>
      <protection/>
    </xf>
    <xf numFmtId="1" fontId="14" fillId="0" borderId="12" xfId="64" applyNumberFormat="1" applyFont="1" applyFill="1" applyBorder="1" applyAlignment="1" applyProtection="1">
      <alignment horizontal="center"/>
      <protection/>
    </xf>
    <xf numFmtId="1" fontId="14" fillId="0" borderId="17" xfId="64" applyNumberFormat="1" applyFont="1" applyFill="1" applyBorder="1" applyAlignment="1" applyProtection="1">
      <alignment horizontal="center"/>
      <protection/>
    </xf>
    <xf numFmtId="173" fontId="14" fillId="0" borderId="34" xfId="64" applyNumberFormat="1" applyFont="1" applyFill="1" applyBorder="1" applyAlignment="1" applyProtection="1">
      <alignment horizontal="center"/>
      <protection/>
    </xf>
    <xf numFmtId="0" fontId="14" fillId="0" borderId="26" xfId="64" applyFont="1" applyBorder="1" applyProtection="1">
      <alignment/>
      <protection/>
    </xf>
    <xf numFmtId="174" fontId="15" fillId="42" borderId="39" xfId="64" applyNumberFormat="1" applyFont="1" applyFill="1" applyBorder="1" applyAlignment="1" applyProtection="1">
      <alignment horizontal="center"/>
      <protection/>
    </xf>
    <xf numFmtId="174" fontId="14" fillId="0" borderId="40" xfId="64" applyNumberFormat="1" applyFont="1" applyFill="1" applyBorder="1" applyAlignment="1" applyProtection="1">
      <alignment horizontal="center"/>
      <protection/>
    </xf>
    <xf numFmtId="174" fontId="14" fillId="0" borderId="11" xfId="64" applyNumberFormat="1" applyFont="1" applyFill="1" applyBorder="1" applyAlignment="1" applyProtection="1">
      <alignment horizontal="center"/>
      <protection/>
    </xf>
    <xf numFmtId="173" fontId="23" fillId="41" borderId="39" xfId="64" applyNumberFormat="1" applyFont="1" applyFill="1" applyBorder="1" applyAlignment="1" applyProtection="1">
      <alignment horizontal="center"/>
      <protection locked="0"/>
    </xf>
    <xf numFmtId="174" fontId="14" fillId="0" borderId="15" xfId="64" applyNumberFormat="1" applyFont="1" applyFill="1" applyBorder="1" applyAlignment="1" applyProtection="1">
      <alignment horizontal="center"/>
      <protection/>
    </xf>
    <xf numFmtId="174" fontId="15" fillId="0" borderId="34" xfId="64" applyNumberFormat="1" applyFont="1" applyFill="1" applyBorder="1" applyAlignment="1" applyProtection="1">
      <alignment horizontal="center"/>
      <protection/>
    </xf>
    <xf numFmtId="174" fontId="14" fillId="0" borderId="38" xfId="64" applyNumberFormat="1" applyFont="1" applyFill="1" applyBorder="1" applyAlignment="1" applyProtection="1">
      <alignment horizontal="center"/>
      <protection/>
    </xf>
    <xf numFmtId="174" fontId="14" fillId="0" borderId="12" xfId="64" applyNumberFormat="1" applyFont="1" applyFill="1" applyBorder="1" applyAlignment="1" applyProtection="1">
      <alignment horizontal="center"/>
      <protection/>
    </xf>
    <xf numFmtId="174" fontId="14" fillId="0" borderId="17" xfId="64" applyNumberFormat="1" applyFont="1" applyFill="1" applyBorder="1" applyAlignment="1" applyProtection="1">
      <alignment horizontal="center"/>
      <protection/>
    </xf>
    <xf numFmtId="173" fontId="14" fillId="0" borderId="34" xfId="64" applyNumberFormat="1" applyFont="1" applyFill="1" applyBorder="1" applyAlignment="1" applyProtection="1">
      <alignment horizontal="center"/>
      <protection locked="0"/>
    </xf>
    <xf numFmtId="174" fontId="23" fillId="0" borderId="41" xfId="64" applyNumberFormat="1" applyFont="1" applyFill="1" applyBorder="1" applyAlignment="1" applyProtection="1">
      <alignment horizontal="center"/>
      <protection/>
    </xf>
    <xf numFmtId="174" fontId="14" fillId="0" borderId="42" xfId="64" applyNumberFormat="1" applyFont="1" applyFill="1" applyBorder="1" applyAlignment="1" applyProtection="1">
      <alignment horizontal="center"/>
      <protection/>
    </xf>
    <xf numFmtId="174" fontId="14" fillId="0" borderId="43" xfId="64" applyNumberFormat="1" applyFont="1" applyFill="1" applyBorder="1" applyAlignment="1" applyProtection="1">
      <alignment horizontal="center"/>
      <protection/>
    </xf>
    <xf numFmtId="174" fontId="14" fillId="0" borderId="44" xfId="64" applyNumberFormat="1" applyFont="1" applyFill="1" applyBorder="1" applyAlignment="1" applyProtection="1">
      <alignment horizontal="center"/>
      <protection/>
    </xf>
    <xf numFmtId="174" fontId="14" fillId="0" borderId="41" xfId="64" applyNumberFormat="1" applyFont="1" applyFill="1" applyBorder="1" applyAlignment="1" applyProtection="1">
      <alignment horizontal="center"/>
      <protection/>
    </xf>
    <xf numFmtId="173" fontId="23" fillId="0" borderId="41" xfId="64" applyNumberFormat="1" applyFont="1" applyFill="1" applyBorder="1" applyAlignment="1" applyProtection="1">
      <alignment horizontal="center"/>
      <protection locked="0"/>
    </xf>
    <xf numFmtId="0" fontId="14" fillId="0" borderId="22" xfId="64" applyFont="1" applyBorder="1" applyProtection="1">
      <alignment/>
      <protection/>
    </xf>
    <xf numFmtId="0" fontId="15" fillId="0" borderId="23" xfId="64" applyFont="1" applyBorder="1" applyAlignment="1" applyProtection="1">
      <alignment/>
      <protection/>
    </xf>
    <xf numFmtId="0" fontId="14" fillId="0" borderId="0" xfId="62" applyFont="1" applyAlignment="1" applyProtection="1">
      <alignment/>
      <protection/>
    </xf>
    <xf numFmtId="174" fontId="15" fillId="0" borderId="33" xfId="64" applyNumberFormat="1" applyFont="1" applyFill="1" applyBorder="1" applyAlignment="1" applyProtection="1">
      <alignment horizontal="center"/>
      <protection/>
    </xf>
    <xf numFmtId="174" fontId="14" fillId="0" borderId="35" xfId="64" applyNumberFormat="1" applyFont="1" applyFill="1" applyBorder="1" applyAlignment="1" applyProtection="1">
      <alignment horizontal="center"/>
      <protection/>
    </xf>
    <xf numFmtId="174" fontId="14" fillId="0" borderId="36" xfId="64" applyNumberFormat="1" applyFont="1" applyFill="1" applyBorder="1" applyAlignment="1" applyProtection="1">
      <alignment horizontal="center"/>
      <protection/>
    </xf>
    <xf numFmtId="174" fontId="14" fillId="0" borderId="37" xfId="64" applyNumberFormat="1" applyFont="1" applyFill="1" applyBorder="1" applyAlignment="1" applyProtection="1">
      <alignment horizontal="center"/>
      <protection/>
    </xf>
    <xf numFmtId="173" fontId="14" fillId="0" borderId="33" xfId="64" applyNumberFormat="1" applyFont="1" applyFill="1" applyBorder="1" applyAlignment="1" applyProtection="1">
      <alignment horizontal="center"/>
      <protection locked="0"/>
    </xf>
    <xf numFmtId="173" fontId="23" fillId="0" borderId="41" xfId="64" applyNumberFormat="1" applyFont="1" applyFill="1" applyBorder="1" applyAlignment="1" applyProtection="1">
      <alignment horizontal="center"/>
      <protection/>
    </xf>
    <xf numFmtId="173" fontId="24" fillId="41" borderId="40" xfId="61" applyNumberFormat="1" applyFont="1" applyFill="1" applyBorder="1" applyAlignment="1" applyProtection="1">
      <alignment horizontal="center" vertical="center"/>
      <protection locked="0"/>
    </xf>
    <xf numFmtId="173" fontId="24" fillId="41" borderId="21" xfId="61" applyNumberFormat="1" applyFont="1" applyFill="1" applyBorder="1" applyAlignment="1" applyProtection="1">
      <alignment horizontal="center" vertical="center"/>
      <protection locked="0"/>
    </xf>
    <xf numFmtId="173" fontId="24" fillId="41" borderId="45" xfId="61" applyNumberFormat="1" applyFont="1" applyFill="1" applyBorder="1" applyAlignment="1" applyProtection="1">
      <alignment horizontal="center" vertical="center"/>
      <protection locked="0"/>
    </xf>
    <xf numFmtId="173" fontId="24" fillId="41" borderId="11" xfId="61" applyNumberFormat="1" applyFont="1" applyFill="1" applyBorder="1" applyAlignment="1" applyProtection="1">
      <alignment horizontal="center" vertical="center"/>
      <protection locked="0"/>
    </xf>
    <xf numFmtId="173" fontId="24" fillId="43" borderId="40" xfId="61" applyNumberFormat="1" applyFont="1" applyFill="1" applyBorder="1" applyAlignment="1" applyProtection="1">
      <alignment horizontal="center" vertical="center"/>
      <protection/>
    </xf>
    <xf numFmtId="173" fontId="24" fillId="43" borderId="21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173" fontId="24" fillId="43" borderId="46" xfId="61" applyNumberFormat="1" applyFont="1" applyFill="1" applyBorder="1" applyAlignment="1" applyProtection="1">
      <alignment horizontal="center" vertical="center"/>
      <protection/>
    </xf>
    <xf numFmtId="173" fontId="24" fillId="43" borderId="47" xfId="61" applyNumberFormat="1" applyFont="1" applyFill="1" applyBorder="1" applyAlignment="1" applyProtection="1">
      <alignment horizontal="center" vertical="center"/>
      <protection/>
    </xf>
    <xf numFmtId="173" fontId="24" fillId="41" borderId="47" xfId="61" applyNumberFormat="1" applyFont="1" applyFill="1" applyBorder="1" applyAlignment="1" applyProtection="1">
      <alignment horizontal="center" vertical="center"/>
      <protection locked="0"/>
    </xf>
    <xf numFmtId="173" fontId="24" fillId="41" borderId="48" xfId="61" applyNumberFormat="1" applyFont="1" applyFill="1" applyBorder="1" applyAlignment="1" applyProtection="1">
      <alignment horizontal="center" vertical="center"/>
      <protection locked="0"/>
    </xf>
    <xf numFmtId="173" fontId="24" fillId="41" borderId="49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1" fontId="24" fillId="41" borderId="40" xfId="61" applyNumberFormat="1" applyFont="1" applyFill="1" applyBorder="1" applyAlignment="1" applyProtection="1">
      <alignment horizontal="center" vertical="center"/>
      <protection locked="0"/>
    </xf>
    <xf numFmtId="1" fontId="24" fillId="41" borderId="21" xfId="61" applyNumberFormat="1" applyFont="1" applyFill="1" applyBorder="1" applyAlignment="1" applyProtection="1">
      <alignment horizontal="center" vertical="center"/>
      <protection locked="0"/>
    </xf>
    <xf numFmtId="1" fontId="24" fillId="41" borderId="45" xfId="61" applyNumberFormat="1" applyFont="1" applyFill="1" applyBorder="1" applyAlignment="1" applyProtection="1">
      <alignment horizontal="center" vertical="center"/>
      <protection locked="0"/>
    </xf>
    <xf numFmtId="1" fontId="24" fillId="41" borderId="11" xfId="61" applyNumberFormat="1" applyFont="1" applyFill="1" applyBorder="1" applyAlignment="1" applyProtection="1">
      <alignment horizontal="center" vertical="center"/>
      <protection locked="0"/>
    </xf>
    <xf numFmtId="1" fontId="24" fillId="41" borderId="50" xfId="61" applyNumberFormat="1" applyFont="1" applyFill="1" applyBorder="1" applyAlignment="1" applyProtection="1">
      <alignment horizontal="center" vertical="center"/>
      <protection locked="0"/>
    </xf>
    <xf numFmtId="1" fontId="24" fillId="41" borderId="16" xfId="61" applyNumberFormat="1" applyFont="1" applyFill="1" applyBorder="1" applyAlignment="1" applyProtection="1">
      <alignment horizontal="center" vertical="center"/>
      <protection locked="0"/>
    </xf>
    <xf numFmtId="1" fontId="24" fillId="41" borderId="51" xfId="61" applyNumberFormat="1" applyFont="1" applyFill="1" applyBorder="1" applyAlignment="1" applyProtection="1">
      <alignment horizontal="center" vertical="center"/>
      <protection locked="0"/>
    </xf>
    <xf numFmtId="1" fontId="24" fillId="41" borderId="10" xfId="6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73" fontId="0" fillId="0" borderId="0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18" fillId="0" borderId="0" xfId="0" applyNumberFormat="1" applyFont="1" applyAlignment="1" applyProtection="1">
      <alignment/>
      <protection/>
    </xf>
    <xf numFmtId="0" fontId="24" fillId="41" borderId="11" xfId="61" applyFont="1" applyFill="1" applyBorder="1" applyAlignment="1" applyProtection="1">
      <alignment horizontal="center" vertical="center"/>
      <protection locked="0"/>
    </xf>
    <xf numFmtId="0" fontId="24" fillId="41" borderId="15" xfId="61" applyFont="1" applyFill="1" applyBorder="1" applyAlignment="1" applyProtection="1">
      <alignment horizontal="center" vertical="center"/>
      <protection locked="0"/>
    </xf>
    <xf numFmtId="172" fontId="24" fillId="41" borderId="40" xfId="61" applyNumberFormat="1" applyFont="1" applyFill="1" applyBorder="1" applyAlignment="1" applyProtection="1">
      <alignment horizontal="center" vertical="center"/>
      <protection locked="0"/>
    </xf>
    <xf numFmtId="172" fontId="24" fillId="41" borderId="21" xfId="61" applyNumberFormat="1" applyFont="1" applyFill="1" applyBorder="1" applyAlignment="1" applyProtection="1">
      <alignment horizontal="center" vertical="center"/>
      <protection locked="0"/>
    </xf>
    <xf numFmtId="172" fontId="24" fillId="41" borderId="45" xfId="61" applyNumberFormat="1" applyFont="1" applyFill="1" applyBorder="1" applyAlignment="1" applyProtection="1">
      <alignment horizontal="center" vertical="center"/>
      <protection locked="0"/>
    </xf>
    <xf numFmtId="172" fontId="24" fillId="41" borderId="11" xfId="61" applyNumberFormat="1" applyFont="1" applyFill="1" applyBorder="1" applyAlignment="1" applyProtection="1">
      <alignment horizontal="center" vertical="center"/>
      <protection locked="0"/>
    </xf>
    <xf numFmtId="0" fontId="24" fillId="41" borderId="10" xfId="61" applyFont="1" applyFill="1" applyBorder="1" applyAlignment="1" applyProtection="1">
      <alignment horizontal="center" vertical="center"/>
      <protection locked="0"/>
    </xf>
    <xf numFmtId="0" fontId="24" fillId="41" borderId="14" xfId="61" applyFont="1" applyFill="1" applyBorder="1" applyAlignment="1" applyProtection="1">
      <alignment horizontal="center" vertical="center"/>
      <protection locked="0"/>
    </xf>
    <xf numFmtId="172" fontId="24" fillId="41" borderId="50" xfId="61" applyNumberFormat="1" applyFont="1" applyFill="1" applyBorder="1" applyAlignment="1" applyProtection="1">
      <alignment horizontal="center" vertical="center"/>
      <protection locked="0"/>
    </xf>
    <xf numFmtId="172" fontId="24" fillId="41" borderId="16" xfId="61" applyNumberFormat="1" applyFont="1" applyFill="1" applyBorder="1" applyAlignment="1" applyProtection="1">
      <alignment horizontal="center" vertical="center"/>
      <protection locked="0"/>
    </xf>
    <xf numFmtId="172" fontId="24" fillId="41" borderId="51" xfId="61" applyNumberFormat="1" applyFont="1" applyFill="1" applyBorder="1" applyAlignment="1" applyProtection="1">
      <alignment horizontal="center" vertical="center"/>
      <protection locked="0"/>
    </xf>
    <xf numFmtId="172" fontId="24" fillId="41" borderId="10" xfId="61" applyNumberFormat="1" applyFont="1" applyFill="1" applyBorder="1" applyAlignment="1" applyProtection="1">
      <alignment horizontal="center" vertical="center"/>
      <protection locked="0"/>
    </xf>
    <xf numFmtId="2" fontId="0" fillId="42" borderId="49" xfId="0" applyNumberFormat="1" applyFill="1" applyBorder="1" applyAlignment="1" applyProtection="1">
      <alignment horizontal="center"/>
      <protection locked="0"/>
    </xf>
    <xf numFmtId="0" fontId="10" fillId="0" borderId="0" xfId="61" applyFont="1" applyProtection="1">
      <alignment/>
      <protection/>
    </xf>
    <xf numFmtId="0" fontId="10" fillId="0" borderId="38" xfId="61" applyFont="1" applyBorder="1" applyProtection="1">
      <alignment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5" xfId="6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center" vertical="center" wrapText="1"/>
      <protection/>
    </xf>
    <xf numFmtId="0" fontId="11" fillId="0" borderId="45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" fontId="24" fillId="41" borderId="52" xfId="59" applyNumberFormat="1" applyFont="1" applyFill="1" applyBorder="1" applyAlignment="1" applyProtection="1">
      <alignment horizontal="center"/>
      <protection locked="0"/>
    </xf>
    <xf numFmtId="1" fontId="24" fillId="41" borderId="20" xfId="59" applyNumberFormat="1" applyFont="1" applyFill="1" applyBorder="1" applyAlignment="1" applyProtection="1">
      <alignment horizontal="center"/>
      <protection locked="0"/>
    </xf>
    <xf numFmtId="1" fontId="24" fillId="41" borderId="53" xfId="59" applyNumberFormat="1" applyFont="1" applyFill="1" applyBorder="1" applyAlignment="1" applyProtection="1">
      <alignment horizontal="center"/>
      <protection locked="0"/>
    </xf>
    <xf numFmtId="1" fontId="24" fillId="41" borderId="40" xfId="59" applyNumberFormat="1" applyFont="1" applyFill="1" applyBorder="1" applyAlignment="1" applyProtection="1">
      <alignment horizontal="center"/>
      <protection locked="0"/>
    </xf>
    <xf numFmtId="1" fontId="24" fillId="41" borderId="21" xfId="59" applyNumberFormat="1" applyFont="1" applyFill="1" applyBorder="1" applyAlignment="1" applyProtection="1">
      <alignment horizontal="center"/>
      <protection locked="0"/>
    </xf>
    <xf numFmtId="1" fontId="24" fillId="41" borderId="54" xfId="59" applyNumberFormat="1" applyFont="1" applyFill="1" applyBorder="1" applyAlignment="1" applyProtection="1">
      <alignment horizontal="center"/>
      <protection locked="0"/>
    </xf>
    <xf numFmtId="1" fontId="24" fillId="41" borderId="46" xfId="59" applyNumberFormat="1" applyFont="1" applyFill="1" applyBorder="1" applyAlignment="1" applyProtection="1">
      <alignment horizontal="center"/>
      <protection locked="0"/>
    </xf>
    <xf numFmtId="1" fontId="24" fillId="41" borderId="49" xfId="59" applyNumberFormat="1" applyFont="1" applyFill="1" applyBorder="1" applyAlignment="1" applyProtection="1">
      <alignment horizontal="center"/>
      <protection locked="0"/>
    </xf>
    <xf numFmtId="1" fontId="24" fillId="41" borderId="48" xfId="59" applyNumberFormat="1" applyFont="1" applyFill="1" applyBorder="1" applyAlignment="1" applyProtection="1">
      <alignment horizontal="center"/>
      <protection locked="0"/>
    </xf>
    <xf numFmtId="1" fontId="24" fillId="41" borderId="45" xfId="59" applyNumberFormat="1" applyFont="1" applyFill="1" applyBorder="1" applyAlignment="1" applyProtection="1">
      <alignment horizontal="center"/>
      <protection locked="0"/>
    </xf>
    <xf numFmtId="1" fontId="24" fillId="41" borderId="47" xfId="59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3" fillId="0" borderId="0" xfId="67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left" vertical="center"/>
      <protection/>
    </xf>
    <xf numFmtId="0" fontId="8" fillId="0" borderId="0" xfId="59" applyFont="1" applyProtection="1">
      <alignment/>
      <protection/>
    </xf>
    <xf numFmtId="0" fontId="13" fillId="0" borderId="22" xfId="63" applyFont="1" applyFill="1" applyBorder="1" applyAlignment="1" applyProtection="1">
      <alignment vertical="center"/>
      <protection/>
    </xf>
    <xf numFmtId="0" fontId="13" fillId="0" borderId="28" xfId="63" applyFont="1" applyFill="1" applyBorder="1" applyAlignment="1" applyProtection="1">
      <alignment vertical="center"/>
      <protection/>
    </xf>
    <xf numFmtId="1" fontId="13" fillId="0" borderId="55" xfId="59" applyNumberFormat="1" applyFont="1" applyBorder="1" applyAlignment="1" applyProtection="1">
      <alignment horizontal="centerContinuous"/>
      <protection/>
    </xf>
    <xf numFmtId="1" fontId="13" fillId="0" borderId="56" xfId="59" applyNumberFormat="1" applyFont="1" applyBorder="1" applyAlignment="1" applyProtection="1">
      <alignment horizontal="centerContinuous"/>
      <protection/>
    </xf>
    <xf numFmtId="1" fontId="13" fillId="0" borderId="57" xfId="59" applyNumberFormat="1" applyFont="1" applyBorder="1" applyAlignment="1" applyProtection="1">
      <alignment horizontal="centerContinuous"/>
      <protection/>
    </xf>
    <xf numFmtId="0" fontId="13" fillId="0" borderId="26" xfId="63" applyFont="1" applyFill="1" applyBorder="1" applyAlignment="1" applyProtection="1">
      <alignment vertical="center"/>
      <protection/>
    </xf>
    <xf numFmtId="0" fontId="13" fillId="0" borderId="31" xfId="63" applyFont="1" applyFill="1" applyBorder="1" applyAlignment="1" applyProtection="1">
      <alignment vertical="center"/>
      <protection/>
    </xf>
    <xf numFmtId="0" fontId="13" fillId="0" borderId="40" xfId="67" applyFont="1" applyFill="1" applyBorder="1" applyAlignment="1" applyProtection="1">
      <alignment horizontal="center" vertical="center"/>
      <protection/>
    </xf>
    <xf numFmtId="0" fontId="13" fillId="0" borderId="11" xfId="67" applyFont="1" applyFill="1" applyBorder="1" applyAlignment="1" applyProtection="1">
      <alignment horizontal="center" vertical="center"/>
      <protection/>
    </xf>
    <xf numFmtId="0" fontId="13" fillId="0" borderId="45" xfId="67" applyFont="1" applyFill="1" applyBorder="1" applyAlignment="1" applyProtection="1">
      <alignment horizontal="center" vertical="center"/>
      <protection/>
    </xf>
    <xf numFmtId="0" fontId="29" fillId="0" borderId="58" xfId="63" applyFont="1" applyBorder="1" applyAlignment="1" applyProtection="1">
      <alignment vertical="center"/>
      <protection/>
    </xf>
    <xf numFmtId="0" fontId="30" fillId="0" borderId="59" xfId="63" applyFont="1" applyFill="1" applyBorder="1" applyAlignment="1" applyProtection="1">
      <alignment horizontal="centerContinuous" vertical="center"/>
      <protection/>
    </xf>
    <xf numFmtId="0" fontId="13" fillId="0" borderId="21" xfId="67" applyFont="1" applyFill="1" applyBorder="1" applyAlignment="1" applyProtection="1">
      <alignment horizontal="center" vertical="center"/>
      <protection/>
    </xf>
    <xf numFmtId="0" fontId="14" fillId="0" borderId="53" xfId="63" applyFont="1" applyFill="1" applyBorder="1" applyAlignment="1" applyProtection="1">
      <alignment/>
      <protection/>
    </xf>
    <xf numFmtId="173" fontId="31" fillId="0" borderId="52" xfId="67" applyNumberFormat="1" applyFont="1" applyFill="1" applyBorder="1" applyAlignment="1" applyProtection="1">
      <alignment horizontal="center" vertical="center"/>
      <protection/>
    </xf>
    <xf numFmtId="173" fontId="31" fillId="0" borderId="13" xfId="67" applyNumberFormat="1" applyFont="1" applyFill="1" applyBorder="1" applyAlignment="1" applyProtection="1">
      <alignment horizontal="center" vertical="center"/>
      <protection/>
    </xf>
    <xf numFmtId="173" fontId="31" fillId="0" borderId="53" xfId="67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Fill="1" applyBorder="1" applyAlignment="1" applyProtection="1">
      <alignment/>
      <protection/>
    </xf>
    <xf numFmtId="173" fontId="31" fillId="0" borderId="40" xfId="67" applyNumberFormat="1" applyFont="1" applyFill="1" applyBorder="1" applyAlignment="1" applyProtection="1">
      <alignment horizontal="center" vertical="center"/>
      <protection/>
    </xf>
    <xf numFmtId="173" fontId="31" fillId="0" borderId="11" xfId="67" applyNumberFormat="1" applyFont="1" applyFill="1" applyBorder="1" applyAlignment="1" applyProtection="1">
      <alignment horizontal="center" vertical="center"/>
      <protection/>
    </xf>
    <xf numFmtId="173" fontId="31" fillId="0" borderId="45" xfId="67" applyNumberFormat="1" applyFont="1" applyFill="1" applyBorder="1" applyAlignment="1" applyProtection="1">
      <alignment horizontal="center" vertical="center"/>
      <protection/>
    </xf>
    <xf numFmtId="0" fontId="14" fillId="0" borderId="45" xfId="63" applyFont="1" applyBorder="1" applyAlignment="1" applyProtection="1">
      <alignment/>
      <protection/>
    </xf>
    <xf numFmtId="0" fontId="14" fillId="0" borderId="45" xfId="63" applyFont="1" applyBorder="1" applyAlignment="1" applyProtection="1">
      <alignment vertical="center"/>
      <protection/>
    </xf>
    <xf numFmtId="0" fontId="14" fillId="0" borderId="45" xfId="63" applyFont="1" applyFill="1" applyBorder="1" applyAlignment="1" applyProtection="1">
      <alignment vertical="center"/>
      <protection/>
    </xf>
    <xf numFmtId="0" fontId="13" fillId="0" borderId="60" xfId="63" applyFont="1" applyBorder="1" applyAlignment="1" applyProtection="1">
      <alignment/>
      <protection/>
    </xf>
    <xf numFmtId="0" fontId="13" fillId="0" borderId="61" xfId="63" applyFont="1" applyBorder="1" applyAlignment="1" applyProtection="1">
      <alignment/>
      <protection/>
    </xf>
    <xf numFmtId="173" fontId="32" fillId="42" borderId="46" xfId="67" applyNumberFormat="1" applyFont="1" applyFill="1" applyBorder="1" applyAlignment="1" applyProtection="1">
      <alignment horizontal="center" vertical="center"/>
      <protection/>
    </xf>
    <xf numFmtId="173" fontId="32" fillId="42" borderId="49" xfId="67" applyNumberFormat="1" applyFont="1" applyFill="1" applyBorder="1" applyAlignment="1" applyProtection="1">
      <alignment horizontal="center" vertical="center"/>
      <protection/>
    </xf>
    <xf numFmtId="173" fontId="32" fillId="42" borderId="48" xfId="67" applyNumberFormat="1" applyFont="1" applyFill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>
      <alignment/>
      <protection/>
    </xf>
    <xf numFmtId="0" fontId="31" fillId="0" borderId="0" xfId="67" applyFont="1" applyFill="1" applyBorder="1" applyAlignment="1" applyProtection="1">
      <alignment horizontal="center" vertical="center"/>
      <protection/>
    </xf>
    <xf numFmtId="1" fontId="8" fillId="0" borderId="0" xfId="59" applyNumberFormat="1" applyFont="1" applyProtection="1">
      <alignment/>
      <protection/>
    </xf>
    <xf numFmtId="173" fontId="16" fillId="41" borderId="20" xfId="67" applyNumberFormat="1" applyFont="1" applyFill="1" applyBorder="1" applyAlignment="1" applyProtection="1">
      <alignment horizontal="center" vertical="center"/>
      <protection locked="0"/>
    </xf>
    <xf numFmtId="173" fontId="16" fillId="41" borderId="59" xfId="67" applyNumberFormat="1" applyFont="1" applyFill="1" applyBorder="1" applyAlignment="1" applyProtection="1">
      <alignment horizontal="center" vertical="center"/>
      <protection locked="0"/>
    </xf>
    <xf numFmtId="173" fontId="16" fillId="41" borderId="52" xfId="67" applyNumberFormat="1" applyFont="1" applyFill="1" applyBorder="1" applyAlignment="1" applyProtection="1">
      <alignment horizontal="center" vertical="center"/>
      <protection locked="0"/>
    </xf>
    <xf numFmtId="173" fontId="16" fillId="41" borderId="13" xfId="67" applyNumberFormat="1" applyFont="1" applyFill="1" applyBorder="1" applyAlignment="1" applyProtection="1">
      <alignment horizontal="center" vertical="center"/>
      <protection locked="0"/>
    </xf>
    <xf numFmtId="173" fontId="16" fillId="41" borderId="53" xfId="67" applyNumberFormat="1" applyFont="1" applyFill="1" applyBorder="1" applyAlignment="1" applyProtection="1">
      <alignment horizontal="center" vertical="center"/>
      <protection locked="0"/>
    </xf>
    <xf numFmtId="173" fontId="16" fillId="41" borderId="21" xfId="67" applyNumberFormat="1" applyFont="1" applyFill="1" applyBorder="1" applyAlignment="1" applyProtection="1">
      <alignment horizontal="center" vertical="center"/>
      <protection locked="0"/>
    </xf>
    <xf numFmtId="173" fontId="16" fillId="41" borderId="54" xfId="67" applyNumberFormat="1" applyFont="1" applyFill="1" applyBorder="1" applyAlignment="1" applyProtection="1">
      <alignment horizontal="center" vertical="center"/>
      <protection locked="0"/>
    </xf>
    <xf numFmtId="173" fontId="16" fillId="41" borderId="40" xfId="67" applyNumberFormat="1" applyFont="1" applyFill="1" applyBorder="1" applyAlignment="1" applyProtection="1">
      <alignment horizontal="center" vertical="center"/>
      <protection locked="0"/>
    </xf>
    <xf numFmtId="173" fontId="16" fillId="41" borderId="11" xfId="67" applyNumberFormat="1" applyFont="1" applyFill="1" applyBorder="1" applyAlignment="1" applyProtection="1">
      <alignment horizontal="center" vertical="center"/>
      <protection locked="0"/>
    </xf>
    <xf numFmtId="173" fontId="16" fillId="41" borderId="45" xfId="67" applyNumberFormat="1" applyFont="1" applyFill="1" applyBorder="1" applyAlignment="1" applyProtection="1">
      <alignment horizontal="center" vertical="center"/>
      <protection locked="0"/>
    </xf>
    <xf numFmtId="173" fontId="8" fillId="0" borderId="21" xfId="67" applyNumberFormat="1" applyFont="1" applyFill="1" applyBorder="1" applyAlignment="1" applyProtection="1">
      <alignment horizontal="center" vertical="center"/>
      <protection/>
    </xf>
    <xf numFmtId="173" fontId="8" fillId="0" borderId="11" xfId="67" applyNumberFormat="1" applyFont="1" applyFill="1" applyBorder="1" applyAlignment="1" applyProtection="1">
      <alignment horizontal="center" vertical="center"/>
      <protection/>
    </xf>
    <xf numFmtId="173" fontId="8" fillId="0" borderId="45" xfId="67" applyNumberFormat="1" applyFont="1" applyFill="1" applyBorder="1" applyAlignment="1" applyProtection="1">
      <alignment horizontal="center" vertical="center"/>
      <protection/>
    </xf>
    <xf numFmtId="173" fontId="8" fillId="0" borderId="40" xfId="67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14" fillId="0" borderId="51" xfId="63" applyFont="1" applyBorder="1" applyAlignment="1" applyProtection="1">
      <alignment vertical="center"/>
      <protection/>
    </xf>
    <xf numFmtId="173" fontId="16" fillId="41" borderId="16" xfId="67" applyNumberFormat="1" applyFont="1" applyFill="1" applyBorder="1" applyAlignment="1" applyProtection="1">
      <alignment horizontal="center" vertical="center"/>
      <protection locked="0"/>
    </xf>
    <xf numFmtId="173" fontId="16" fillId="41" borderId="10" xfId="67" applyNumberFormat="1" applyFont="1" applyFill="1" applyBorder="1" applyAlignment="1" applyProtection="1">
      <alignment horizontal="center" vertical="center"/>
      <protection locked="0"/>
    </xf>
    <xf numFmtId="173" fontId="16" fillId="41" borderId="51" xfId="67" applyNumberFormat="1" applyFont="1" applyFill="1" applyBorder="1" applyAlignment="1" applyProtection="1">
      <alignment horizontal="center" vertical="center"/>
      <protection locked="0"/>
    </xf>
    <xf numFmtId="173" fontId="16" fillId="41" borderId="50" xfId="67" applyNumberFormat="1" applyFont="1" applyFill="1" applyBorder="1" applyAlignment="1" applyProtection="1">
      <alignment horizontal="center" vertical="center"/>
      <protection locked="0"/>
    </xf>
    <xf numFmtId="0" fontId="13" fillId="0" borderId="62" xfId="63" applyFont="1" applyBorder="1" applyAlignment="1" applyProtection="1">
      <alignment/>
      <protection/>
    </xf>
    <xf numFmtId="0" fontId="13" fillId="0" borderId="63" xfId="63" applyFont="1" applyBorder="1" applyAlignment="1" applyProtection="1">
      <alignment/>
      <protection/>
    </xf>
    <xf numFmtId="173" fontId="13" fillId="42" borderId="64" xfId="67" applyNumberFormat="1" applyFont="1" applyFill="1" applyBorder="1" applyAlignment="1" applyProtection="1">
      <alignment horizontal="center" vertical="center"/>
      <protection/>
    </xf>
    <xf numFmtId="173" fontId="13" fillId="42" borderId="65" xfId="67" applyNumberFormat="1" applyFont="1" applyFill="1" applyBorder="1" applyAlignment="1" applyProtection="1">
      <alignment horizontal="center" vertical="center"/>
      <protection/>
    </xf>
    <xf numFmtId="173" fontId="13" fillId="42" borderId="66" xfId="67" applyNumberFormat="1" applyFont="1" applyFill="1" applyBorder="1" applyAlignment="1" applyProtection="1">
      <alignment horizontal="center" vertical="center"/>
      <protection/>
    </xf>
    <xf numFmtId="173" fontId="13" fillId="42" borderId="67" xfId="67" applyNumberFormat="1" applyFont="1" applyFill="1" applyBorder="1" applyAlignment="1" applyProtection="1">
      <alignment horizontal="center" vertical="center"/>
      <protection/>
    </xf>
    <xf numFmtId="173" fontId="13" fillId="42" borderId="47" xfId="67" applyNumberFormat="1" applyFont="1" applyFill="1" applyBorder="1" applyAlignment="1" applyProtection="1">
      <alignment horizontal="center" vertical="center"/>
      <protection/>
    </xf>
    <xf numFmtId="173" fontId="13" fillId="42" borderId="49" xfId="67" applyNumberFormat="1" applyFont="1" applyFill="1" applyBorder="1" applyAlignment="1" applyProtection="1">
      <alignment horizontal="center" vertical="center"/>
      <protection/>
    </xf>
    <xf numFmtId="173" fontId="13" fillId="42" borderId="48" xfId="67" applyNumberFormat="1" applyFont="1" applyFill="1" applyBorder="1" applyAlignment="1" applyProtection="1">
      <alignment horizontal="center" vertical="center"/>
      <protection/>
    </xf>
    <xf numFmtId="173" fontId="13" fillId="42" borderId="46" xfId="67" applyNumberFormat="1" applyFont="1" applyFill="1" applyBorder="1" applyAlignment="1" applyProtection="1">
      <alignment horizontal="center" vertical="center"/>
      <protection/>
    </xf>
    <xf numFmtId="0" fontId="8" fillId="0" borderId="45" xfId="67" applyFont="1" applyFill="1" applyBorder="1" applyAlignment="1" applyProtection="1">
      <alignment horizontal="left" vertical="center"/>
      <protection/>
    </xf>
    <xf numFmtId="1" fontId="8" fillId="0" borderId="45" xfId="59" applyNumberFormat="1" applyFont="1" applyBorder="1" applyProtection="1">
      <alignment/>
      <protection/>
    </xf>
    <xf numFmtId="173" fontId="8" fillId="42" borderId="21" xfId="67" applyNumberFormat="1" applyFont="1" applyFill="1" applyBorder="1" applyAlignment="1" applyProtection="1">
      <alignment horizontal="center" vertical="center"/>
      <protection/>
    </xf>
    <xf numFmtId="173" fontId="8" fillId="42" borderId="54" xfId="67" applyNumberFormat="1" applyFont="1" applyFill="1" applyBorder="1" applyAlignment="1" applyProtection="1">
      <alignment horizontal="center" vertical="center"/>
      <protection/>
    </xf>
    <xf numFmtId="173" fontId="8" fillId="42" borderId="40" xfId="67" applyNumberFormat="1" applyFont="1" applyFill="1" applyBorder="1" applyAlignment="1" applyProtection="1">
      <alignment horizontal="center" vertical="center"/>
      <protection/>
    </xf>
    <xf numFmtId="1" fontId="8" fillId="0" borderId="45" xfId="59" applyNumberFormat="1" applyFont="1" applyBorder="1" applyAlignment="1" applyProtection="1">
      <alignment/>
      <protection/>
    </xf>
    <xf numFmtId="0" fontId="18" fillId="0" borderId="46" xfId="0" applyFont="1" applyBorder="1" applyAlignment="1" applyProtection="1">
      <alignment vertical="center"/>
      <protection/>
    </xf>
    <xf numFmtId="1" fontId="8" fillId="0" borderId="48" xfId="59" applyNumberFormat="1" applyFont="1" applyBorder="1" applyProtection="1">
      <alignment/>
      <protection/>
    </xf>
    <xf numFmtId="173" fontId="8" fillId="42" borderId="47" xfId="67" applyNumberFormat="1" applyFont="1" applyFill="1" applyBorder="1" applyAlignment="1" applyProtection="1">
      <alignment horizontal="center" vertical="center"/>
      <protection/>
    </xf>
    <xf numFmtId="173" fontId="8" fillId="42" borderId="61" xfId="67" applyNumberFormat="1" applyFont="1" applyFill="1" applyBorder="1" applyAlignment="1" applyProtection="1">
      <alignment horizontal="center" vertical="center"/>
      <protection/>
    </xf>
    <xf numFmtId="173" fontId="8" fillId="42" borderId="46" xfId="67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 applyProtection="1">
      <alignment horizontal="centerContinuous"/>
      <protection/>
    </xf>
    <xf numFmtId="2" fontId="24" fillId="41" borderId="38" xfId="0" applyNumberFormat="1" applyFont="1" applyFill="1" applyBorder="1" applyAlignment="1" applyProtection="1">
      <alignment horizontal="center" vertical="center"/>
      <protection locked="0"/>
    </xf>
    <xf numFmtId="2" fontId="24" fillId="41" borderId="68" xfId="0" applyNumberFormat="1" applyFont="1" applyFill="1" applyBorder="1" applyAlignment="1" applyProtection="1">
      <alignment horizontal="center" vertical="center"/>
      <protection locked="0"/>
    </xf>
    <xf numFmtId="174" fontId="24" fillId="0" borderId="69" xfId="65" applyNumberFormat="1" applyFont="1" applyFill="1" applyBorder="1" applyProtection="1">
      <alignment/>
      <protection/>
    </xf>
    <xf numFmtId="2" fontId="24" fillId="0" borderId="38" xfId="0" applyNumberFormat="1" applyFont="1" applyFill="1" applyBorder="1" applyAlignment="1" applyProtection="1">
      <alignment horizontal="center" vertical="center"/>
      <protection/>
    </xf>
    <xf numFmtId="2" fontId="24" fillId="0" borderId="68" xfId="0" applyNumberFormat="1" applyFont="1" applyFill="1" applyBorder="1" applyAlignment="1" applyProtection="1">
      <alignment horizontal="center" vertical="center"/>
      <protection/>
    </xf>
    <xf numFmtId="2" fontId="24" fillId="41" borderId="42" xfId="0" applyNumberFormat="1" applyFont="1" applyFill="1" applyBorder="1" applyAlignment="1" applyProtection="1">
      <alignment horizontal="center" vertical="center"/>
      <protection locked="0"/>
    </xf>
    <xf numFmtId="2" fontId="24" fillId="41" borderId="69" xfId="0" applyNumberFormat="1" applyFont="1" applyFill="1" applyBorder="1" applyAlignment="1" applyProtection="1">
      <alignment horizontal="center" vertical="center"/>
      <protection locked="0"/>
    </xf>
    <xf numFmtId="0" fontId="15" fillId="0" borderId="24" xfId="68" applyFont="1" applyBorder="1">
      <alignment/>
      <protection/>
    </xf>
    <xf numFmtId="0" fontId="14" fillId="0" borderId="24" xfId="68" applyFont="1" applyBorder="1">
      <alignment/>
      <protection/>
    </xf>
    <xf numFmtId="0" fontId="14" fillId="0" borderId="16" xfId="68" applyFont="1" applyBorder="1">
      <alignment/>
      <protection/>
    </xf>
    <xf numFmtId="0" fontId="15" fillId="0" borderId="0" xfId="68" applyFont="1" applyBorder="1">
      <alignment/>
      <protection/>
    </xf>
    <xf numFmtId="0" fontId="14" fillId="0" borderId="0" xfId="68" applyFont="1" applyBorder="1">
      <alignment/>
      <protection/>
    </xf>
    <xf numFmtId="0" fontId="14" fillId="0" borderId="18" xfId="68" applyFont="1" applyBorder="1">
      <alignment/>
      <protection/>
    </xf>
    <xf numFmtId="0" fontId="15" fillId="0" borderId="18" xfId="68" applyFont="1" applyBorder="1" applyAlignment="1">
      <alignment horizontal="center" textRotation="90" wrapText="1"/>
      <protection/>
    </xf>
    <xf numFmtId="0" fontId="14" fillId="0" borderId="11" xfId="68" applyFont="1" applyBorder="1">
      <alignment/>
      <protection/>
    </xf>
    <xf numFmtId="0" fontId="14" fillId="0" borderId="11" xfId="68" applyFont="1" applyBorder="1" applyAlignment="1">
      <alignment horizontal="center"/>
      <protection/>
    </xf>
    <xf numFmtId="0" fontId="14" fillId="0" borderId="10" xfId="68" applyFont="1" applyBorder="1">
      <alignment/>
      <protection/>
    </xf>
    <xf numFmtId="0" fontId="14" fillId="0" borderId="10" xfId="68" applyFont="1" applyBorder="1" applyAlignment="1">
      <alignment horizontal="center"/>
      <protection/>
    </xf>
    <xf numFmtId="0" fontId="14" fillId="0" borderId="12" xfId="68" applyFont="1" applyBorder="1">
      <alignment/>
      <protection/>
    </xf>
    <xf numFmtId="182" fontId="14" fillId="0" borderId="12" xfId="68" applyNumberFormat="1" applyFont="1" applyBorder="1">
      <alignment/>
      <protection/>
    </xf>
    <xf numFmtId="37" fontId="14" fillId="0" borderId="18" xfId="68" applyNumberFormat="1" applyFont="1" applyBorder="1">
      <alignment/>
      <protection/>
    </xf>
    <xf numFmtId="183" fontId="14" fillId="44" borderId="13" xfId="68" applyNumberFormat="1" applyFont="1" applyFill="1" applyBorder="1">
      <alignment/>
      <protection/>
    </xf>
    <xf numFmtId="183" fontId="14" fillId="0" borderId="13" xfId="68" applyNumberFormat="1" applyFont="1" applyBorder="1">
      <alignment/>
      <protection/>
    </xf>
    <xf numFmtId="182" fontId="14" fillId="0" borderId="18" xfId="68" applyNumberFormat="1" applyFont="1" applyBorder="1">
      <alignment/>
      <protection/>
    </xf>
    <xf numFmtId="0" fontId="14" fillId="0" borderId="13" xfId="68" applyFont="1" applyBorder="1">
      <alignment/>
      <protection/>
    </xf>
    <xf numFmtId="182" fontId="14" fillId="0" borderId="13" xfId="68" applyNumberFormat="1" applyFont="1" applyBorder="1">
      <alignment/>
      <protection/>
    </xf>
    <xf numFmtId="182" fontId="14" fillId="0" borderId="0" xfId="68" applyNumberFormat="1" applyFont="1" applyBorder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4" fillId="0" borderId="27" xfId="68" applyFont="1" applyBorder="1">
      <alignment/>
      <protection/>
    </xf>
    <xf numFmtId="182" fontId="14" fillId="0" borderId="27" xfId="68" applyNumberFormat="1" applyFont="1" applyBorder="1">
      <alignment/>
      <protection/>
    </xf>
    <xf numFmtId="37" fontId="14" fillId="0" borderId="20" xfId="68" applyNumberFormat="1" applyFont="1" applyBorder="1">
      <alignment/>
      <protection/>
    </xf>
    <xf numFmtId="0" fontId="33" fillId="0" borderId="11" xfId="68" applyFont="1" applyBorder="1" applyAlignment="1">
      <alignment wrapText="1"/>
      <protection/>
    </xf>
    <xf numFmtId="173" fontId="33" fillId="0" borderId="11" xfId="68" applyNumberFormat="1" applyFont="1" applyBorder="1" applyAlignment="1" applyProtection="1">
      <alignment horizontal="center" textRotation="90" wrapText="1"/>
      <protection/>
    </xf>
    <xf numFmtId="173" fontId="33" fillId="0" borderId="13" xfId="68" applyNumberFormat="1" applyFont="1" applyBorder="1" applyAlignment="1" applyProtection="1">
      <alignment horizontal="center" textRotation="90" wrapText="1"/>
      <protection/>
    </xf>
    <xf numFmtId="0" fontId="34" fillId="0" borderId="18" xfId="68" applyFont="1" applyBorder="1" applyAlignment="1">
      <alignment horizontal="center" textRotation="90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80" fontId="14" fillId="33" borderId="34" xfId="0" applyNumberFormat="1" applyFont="1" applyFill="1" applyBorder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180" fontId="23" fillId="41" borderId="38" xfId="0" applyNumberFormat="1" applyFont="1" applyFill="1" applyBorder="1" applyAlignment="1" applyProtection="1">
      <alignment/>
      <protection locked="0"/>
    </xf>
    <xf numFmtId="180" fontId="23" fillId="41" borderId="12" xfId="0" applyNumberFormat="1" applyFont="1" applyFill="1" applyBorder="1" applyAlignment="1" applyProtection="1">
      <alignment/>
      <protection locked="0"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>
      <alignment/>
    </xf>
    <xf numFmtId="0" fontId="36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13" fillId="0" borderId="70" xfId="0" applyFont="1" applyFill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37" fillId="0" borderId="0" xfId="0" applyFont="1" applyBorder="1" applyAlignment="1">
      <alignment horizontal="left" vertical="center"/>
    </xf>
    <xf numFmtId="0" fontId="13" fillId="0" borderId="41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180" fontId="8" fillId="0" borderId="0" xfId="0" applyNumberFormat="1" applyFont="1" applyAlignment="1">
      <alignment horizontal="right"/>
    </xf>
    <xf numFmtId="180" fontId="16" fillId="41" borderId="71" xfId="0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180" fontId="16" fillId="41" borderId="39" xfId="0" applyNumberFormat="1" applyFont="1" applyFill="1" applyBorder="1" applyAlignment="1" applyProtection="1">
      <alignment horizontal="right"/>
      <protection locked="0"/>
    </xf>
    <xf numFmtId="180" fontId="16" fillId="41" borderId="52" xfId="0" applyNumberFormat="1" applyFont="1" applyFill="1" applyBorder="1" applyAlignment="1" applyProtection="1">
      <alignment horizontal="right"/>
      <protection locked="0"/>
    </xf>
    <xf numFmtId="180" fontId="8" fillId="33" borderId="72" xfId="0" applyNumberFormat="1" applyFont="1" applyFill="1" applyBorder="1" applyAlignment="1">
      <alignment horizontal="right"/>
    </xf>
    <xf numFmtId="180" fontId="16" fillId="41" borderId="7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180" fontId="16" fillId="41" borderId="7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  <protection/>
    </xf>
    <xf numFmtId="180" fontId="8" fillId="33" borderId="39" xfId="0" applyNumberFormat="1" applyFont="1" applyFill="1" applyBorder="1" applyAlignment="1">
      <alignment horizontal="right"/>
    </xf>
    <xf numFmtId="180" fontId="16" fillId="41" borderId="46" xfId="0" applyNumberFormat="1" applyFont="1" applyFill="1" applyBorder="1" applyAlignment="1" applyProtection="1">
      <alignment horizontal="right"/>
      <protection locked="0"/>
    </xf>
    <xf numFmtId="180" fontId="16" fillId="41" borderId="74" xfId="0" applyNumberFormat="1" applyFont="1" applyFill="1" applyBorder="1" applyAlignment="1" applyProtection="1">
      <alignment horizontal="right"/>
      <protection locked="0"/>
    </xf>
    <xf numFmtId="180" fontId="8" fillId="33" borderId="75" xfId="0" applyNumberFormat="1" applyFont="1" applyFill="1" applyBorder="1" applyAlignment="1">
      <alignment horizontal="right"/>
    </xf>
    <xf numFmtId="180" fontId="16" fillId="41" borderId="75" xfId="0" applyNumberFormat="1" applyFont="1" applyFill="1" applyBorder="1" applyAlignment="1" applyProtection="1">
      <alignment horizontal="right"/>
      <protection locked="0"/>
    </xf>
    <xf numFmtId="180" fontId="8" fillId="33" borderId="71" xfId="0" applyNumberFormat="1" applyFont="1" applyFill="1" applyBorder="1" applyAlignment="1">
      <alignment horizontal="right"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80" fontId="8" fillId="33" borderId="73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  <protection/>
    </xf>
    <xf numFmtId="180" fontId="16" fillId="41" borderId="76" xfId="0" applyNumberFormat="1" applyFont="1" applyFill="1" applyBorder="1" applyAlignment="1" applyProtection="1">
      <alignment horizontal="right"/>
      <protection locked="0"/>
    </xf>
    <xf numFmtId="180" fontId="16" fillId="41" borderId="40" xfId="0" applyNumberFormat="1" applyFont="1" applyFill="1" applyBorder="1" applyAlignment="1" applyProtection="1">
      <alignment horizontal="right"/>
      <protection locked="0"/>
    </xf>
    <xf numFmtId="0" fontId="8" fillId="0" borderId="63" xfId="0" applyFont="1" applyBorder="1" applyAlignment="1" applyProtection="1">
      <alignment horizontal="left" vertical="center" wrapText="1"/>
      <protection/>
    </xf>
    <xf numFmtId="180" fontId="8" fillId="33" borderId="70" xfId="0" applyNumberFormat="1" applyFont="1" applyFill="1" applyBorder="1" applyAlignment="1">
      <alignment horizontal="right"/>
    </xf>
    <xf numFmtId="180" fontId="16" fillId="41" borderId="70" xfId="0" applyNumberFormat="1" applyFont="1" applyFill="1" applyBorder="1" applyAlignment="1" applyProtection="1">
      <alignment horizontal="right"/>
      <protection locked="0"/>
    </xf>
    <xf numFmtId="180" fontId="16" fillId="41" borderId="6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  <protection/>
    </xf>
    <xf numFmtId="180" fontId="16" fillId="43" borderId="29" xfId="0" applyNumberFormat="1" applyFont="1" applyFill="1" applyBorder="1" applyAlignment="1">
      <alignment horizontal="right"/>
    </xf>
    <xf numFmtId="180" fontId="16" fillId="43" borderId="30" xfId="0" applyNumberFormat="1" applyFont="1" applyFill="1" applyBorder="1" applyAlignment="1">
      <alignment horizontal="right"/>
    </xf>
    <xf numFmtId="180" fontId="8" fillId="43" borderId="41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180" fontId="16" fillId="41" borderId="4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180" fontId="16" fillId="43" borderId="62" xfId="0" applyNumberFormat="1" applyFont="1" applyFill="1" applyBorder="1" applyAlignment="1">
      <alignment horizontal="right"/>
    </xf>
    <xf numFmtId="180" fontId="16" fillId="43" borderId="77" xfId="0" applyNumberFormat="1" applyFont="1" applyFill="1" applyBorder="1" applyAlignment="1">
      <alignment horizontal="right"/>
    </xf>
    <xf numFmtId="180" fontId="16" fillId="43" borderId="70" xfId="0" applyNumberFormat="1" applyFont="1" applyFill="1" applyBorder="1" applyAlignment="1">
      <alignment horizontal="right"/>
    </xf>
    <xf numFmtId="180" fontId="16" fillId="43" borderId="70" xfId="0" applyNumberFormat="1" applyFont="1" applyFill="1" applyBorder="1" applyAlignment="1" applyProtection="1">
      <alignment horizontal="right"/>
      <protection/>
    </xf>
    <xf numFmtId="180" fontId="8" fillId="43" borderId="70" xfId="0" applyNumberFormat="1" applyFont="1" applyFill="1" applyBorder="1" applyAlignment="1" applyProtection="1">
      <alignment horizontal="right"/>
      <protection/>
    </xf>
    <xf numFmtId="180" fontId="16" fillId="43" borderId="41" xfId="0" applyNumberFormat="1" applyFont="1" applyFill="1" applyBorder="1" applyAlignment="1">
      <alignment horizontal="right"/>
    </xf>
    <xf numFmtId="0" fontId="13" fillId="0" borderId="62" xfId="0" applyFont="1" applyBorder="1" applyAlignment="1">
      <alignment/>
    </xf>
    <xf numFmtId="0" fontId="13" fillId="0" borderId="77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0" xfId="0" applyFont="1" applyBorder="1" applyAlignment="1">
      <alignment/>
    </xf>
    <xf numFmtId="180" fontId="13" fillId="33" borderId="41" xfId="0" applyNumberFormat="1" applyFont="1" applyFill="1" applyBorder="1" applyAlignment="1">
      <alignment horizontal="right"/>
    </xf>
    <xf numFmtId="180" fontId="13" fillId="0" borderId="0" xfId="0" applyNumberFormat="1" applyFont="1" applyAlignment="1">
      <alignment horizontal="right"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8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7" fillId="0" borderId="62" xfId="0" applyFont="1" applyFill="1" applyBorder="1" applyAlignment="1" applyProtection="1">
      <alignment/>
      <protection/>
    </xf>
    <xf numFmtId="0" fontId="13" fillId="0" borderId="77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2" xfId="0" applyFont="1" applyBorder="1" applyAlignment="1" applyProtection="1">
      <alignment/>
      <protection/>
    </xf>
    <xf numFmtId="0" fontId="13" fillId="0" borderId="63" xfId="0" applyFont="1" applyFill="1" applyBorder="1" applyAlignment="1" applyProtection="1">
      <alignment/>
      <protection/>
    </xf>
    <xf numFmtId="0" fontId="8" fillId="0" borderId="55" xfId="0" applyFont="1" applyBorder="1" applyAlignment="1" applyProtection="1">
      <alignment/>
      <protection/>
    </xf>
    <xf numFmtId="0" fontId="8" fillId="0" borderId="56" xfId="0" applyFont="1" applyBorder="1" applyAlignment="1" applyProtection="1">
      <alignment/>
      <protection/>
    </xf>
    <xf numFmtId="0" fontId="8" fillId="0" borderId="57" xfId="0" applyFont="1" applyBorder="1" applyAlignment="1" applyProtection="1">
      <alignment/>
      <protection/>
    </xf>
    <xf numFmtId="180" fontId="16" fillId="41" borderId="59" xfId="0" applyNumberFormat="1" applyFont="1" applyFill="1" applyBorder="1" applyAlignment="1" applyProtection="1">
      <alignment horizontal="right"/>
      <protection locked="0"/>
    </xf>
    <xf numFmtId="0" fontId="8" fillId="0" borderId="60" xfId="0" applyFont="1" applyBorder="1" applyAlignment="1" applyProtection="1">
      <alignment/>
      <protection/>
    </xf>
    <xf numFmtId="0" fontId="8" fillId="0" borderId="78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180" fontId="16" fillId="41" borderId="79" xfId="0" applyNumberFormat="1" applyFont="1" applyFill="1" applyBorder="1" applyAlignment="1" applyProtection="1">
      <alignment horizontal="right"/>
      <protection locked="0"/>
    </xf>
    <xf numFmtId="0" fontId="37" fillId="0" borderId="29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77" xfId="0" applyFont="1" applyBorder="1" applyAlignment="1" applyProtection="1">
      <alignment/>
      <protection/>
    </xf>
    <xf numFmtId="0" fontId="36" fillId="0" borderId="23" xfId="0" applyFont="1" applyBorder="1" applyAlignment="1" applyProtection="1">
      <alignment/>
      <protection/>
    </xf>
    <xf numFmtId="0" fontId="36" fillId="0" borderId="28" xfId="0" applyFont="1" applyBorder="1" applyAlignment="1" applyProtection="1">
      <alignment/>
      <protection/>
    </xf>
    <xf numFmtId="0" fontId="8" fillId="0" borderId="28" xfId="0" applyFont="1" applyBorder="1" applyAlignment="1">
      <alignment horizontal="left"/>
    </xf>
    <xf numFmtId="0" fontId="14" fillId="0" borderId="33" xfId="0" applyFont="1" applyBorder="1" applyAlignment="1" applyProtection="1">
      <alignment/>
      <protection/>
    </xf>
    <xf numFmtId="0" fontId="36" fillId="0" borderId="30" xfId="0" applyFont="1" applyBorder="1" applyAlignment="1" applyProtection="1">
      <alignment/>
      <protection/>
    </xf>
    <xf numFmtId="0" fontId="36" fillId="0" borderId="32" xfId="0" applyFont="1" applyBorder="1" applyAlignment="1" applyProtection="1">
      <alignment/>
      <protection/>
    </xf>
    <xf numFmtId="0" fontId="13" fillId="0" borderId="32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/>
    </xf>
    <xf numFmtId="0" fontId="8" fillId="0" borderId="55" xfId="0" applyFont="1" applyBorder="1" applyAlignment="1" applyProtection="1">
      <alignment wrapText="1"/>
      <protection/>
    </xf>
    <xf numFmtId="0" fontId="8" fillId="0" borderId="56" xfId="0" applyFont="1" applyBorder="1" applyAlignment="1" applyProtection="1">
      <alignment wrapText="1"/>
      <protection/>
    </xf>
    <xf numFmtId="0" fontId="8" fillId="0" borderId="57" xfId="0" applyFont="1" applyBorder="1" applyAlignment="1" applyProtection="1">
      <alignment wrapText="1"/>
      <protection/>
    </xf>
    <xf numFmtId="0" fontId="8" fillId="0" borderId="29" xfId="0" applyFont="1" applyBorder="1" applyAlignment="1" applyProtection="1">
      <alignment wrapText="1"/>
      <protection/>
    </xf>
    <xf numFmtId="0" fontId="8" fillId="0" borderId="30" xfId="0" applyFont="1" applyBorder="1" applyAlignment="1" applyProtection="1">
      <alignment wrapText="1"/>
      <protection/>
    </xf>
    <xf numFmtId="0" fontId="8" fillId="0" borderId="80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8" fillId="0" borderId="54" xfId="0" applyFont="1" applyBorder="1" applyAlignment="1" applyProtection="1">
      <alignment wrapText="1"/>
      <protection/>
    </xf>
    <xf numFmtId="0" fontId="8" fillId="0" borderId="26" xfId="0" applyFont="1" applyBorder="1" applyAlignment="1" applyProtection="1">
      <alignment wrapText="1"/>
      <protection/>
    </xf>
    <xf numFmtId="0" fontId="8" fillId="0" borderId="24" xfId="0" applyFont="1" applyBorder="1" applyAlignment="1" applyProtection="1">
      <alignment wrapText="1"/>
      <protection/>
    </xf>
    <xf numFmtId="0" fontId="8" fillId="0" borderId="79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0" fontId="13" fillId="0" borderId="62" xfId="0" applyFont="1" applyBorder="1" applyAlignment="1" applyProtection="1">
      <alignment wrapText="1"/>
      <protection/>
    </xf>
    <xf numFmtId="0" fontId="13" fillId="0" borderId="77" xfId="0" applyFont="1" applyBorder="1" applyAlignment="1" applyProtection="1">
      <alignment wrapText="1"/>
      <protection/>
    </xf>
    <xf numFmtId="0" fontId="13" fillId="0" borderId="63" xfId="0" applyFont="1" applyBorder="1" applyAlignment="1" applyProtection="1">
      <alignment wrapText="1"/>
      <protection/>
    </xf>
    <xf numFmtId="180" fontId="13" fillId="33" borderId="6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4" fillId="0" borderId="62" xfId="0" applyFont="1" applyBorder="1" applyAlignment="1">
      <alignment/>
    </xf>
    <xf numFmtId="0" fontId="15" fillId="0" borderId="77" xfId="0" applyFont="1" applyBorder="1" applyAlignment="1" applyProtection="1">
      <alignment horizontal="center"/>
      <protection/>
    </xf>
    <xf numFmtId="0" fontId="14" fillId="0" borderId="63" xfId="0" applyFont="1" applyBorder="1" applyAlignment="1">
      <alignment/>
    </xf>
    <xf numFmtId="0" fontId="15" fillId="0" borderId="70" xfId="0" applyFont="1" applyBorder="1" applyAlignment="1" applyProtection="1">
      <alignment horizontal="center"/>
      <protection/>
    </xf>
    <xf numFmtId="0" fontId="15" fillId="0" borderId="7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29" fillId="36" borderId="62" xfId="0" applyFont="1" applyFill="1" applyBorder="1" applyAlignment="1">
      <alignment horizontal="left" vertical="center"/>
    </xf>
    <xf numFmtId="0" fontId="8" fillId="36" borderId="77" xfId="0" applyFont="1" applyFill="1" applyBorder="1" applyAlignment="1">
      <alignment horizontal="centerContinuous" vertical="center"/>
    </xf>
    <xf numFmtId="0" fontId="8" fillId="36" borderId="63" xfId="0" applyFont="1" applyFill="1" applyBorder="1" applyAlignment="1">
      <alignment horizontal="centerContinuous" vertical="center"/>
    </xf>
    <xf numFmtId="0" fontId="37" fillId="0" borderId="2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8" fillId="36" borderId="81" xfId="0" applyFont="1" applyFill="1" applyBorder="1" applyAlignment="1" applyProtection="1">
      <alignment horizontal="center" vertical="center" textRotation="90" wrapText="1"/>
      <protection/>
    </xf>
    <xf numFmtId="0" fontId="8" fillId="36" borderId="36" xfId="0" applyFont="1" applyFill="1" applyBorder="1" applyAlignment="1" applyProtection="1">
      <alignment horizontal="center" vertical="center" textRotation="90" wrapText="1"/>
      <protection/>
    </xf>
    <xf numFmtId="0" fontId="8" fillId="36" borderId="81" xfId="0" applyFont="1" applyFill="1" applyBorder="1" applyAlignment="1" applyProtection="1">
      <alignment horizontal="center" textRotation="90" wrapText="1"/>
      <protection/>
    </xf>
    <xf numFmtId="0" fontId="8" fillId="36" borderId="65" xfId="0" applyFont="1" applyFill="1" applyBorder="1" applyAlignment="1" applyProtection="1">
      <alignment horizontal="center" vertical="center" textRotation="90" wrapText="1"/>
      <protection/>
    </xf>
    <xf numFmtId="0" fontId="8" fillId="36" borderId="66" xfId="0" applyFont="1" applyFill="1" applyBorder="1" applyAlignment="1" applyProtection="1">
      <alignment horizontal="center" vertical="center" textRotation="90" wrapText="1"/>
      <protection/>
    </xf>
    <xf numFmtId="0" fontId="13" fillId="36" borderId="70" xfId="0" applyFont="1" applyFill="1" applyBorder="1" applyAlignment="1" applyProtection="1">
      <alignment horizontal="center" textRotation="90"/>
      <protection/>
    </xf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8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2" xfId="0" applyFont="1" applyBorder="1" applyAlignment="1">
      <alignment vertical="center"/>
    </xf>
    <xf numFmtId="0" fontId="13" fillId="43" borderId="18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center"/>
    </xf>
    <xf numFmtId="0" fontId="13" fillId="43" borderId="0" xfId="0" applyFont="1" applyFill="1" applyBorder="1" applyAlignment="1">
      <alignment horizontal="center"/>
    </xf>
    <xf numFmtId="0" fontId="8" fillId="43" borderId="39" xfId="0" applyFont="1" applyFill="1" applyBorder="1" applyAlignment="1">
      <alignment/>
    </xf>
    <xf numFmtId="180" fontId="16" fillId="41" borderId="21" xfId="0" applyNumberFormat="1" applyFont="1" applyFill="1" applyBorder="1" applyAlignment="1" applyProtection="1">
      <alignment/>
      <protection locked="0"/>
    </xf>
    <xf numFmtId="180" fontId="16" fillId="43" borderId="11" xfId="0" applyNumberFormat="1" applyFont="1" applyFill="1" applyBorder="1" applyAlignment="1" applyProtection="1">
      <alignment/>
      <protection/>
    </xf>
    <xf numFmtId="180" fontId="16" fillId="43" borderId="15" xfId="0" applyNumberFormat="1" applyFont="1" applyFill="1" applyBorder="1" applyAlignment="1" applyProtection="1">
      <alignment/>
      <protection/>
    </xf>
    <xf numFmtId="180" fontId="16" fillId="43" borderId="15" xfId="0" applyNumberFormat="1" applyFont="1" applyFill="1" applyBorder="1" applyAlignment="1">
      <alignment/>
    </xf>
    <xf numFmtId="180" fontId="8" fillId="33" borderId="39" xfId="0" applyNumberFormat="1" applyFont="1" applyFill="1" applyBorder="1" applyAlignment="1">
      <alignment/>
    </xf>
    <xf numFmtId="0" fontId="13" fillId="0" borderId="2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180" fontId="13" fillId="43" borderId="18" xfId="0" applyNumberFormat="1" applyFont="1" applyFill="1" applyBorder="1" applyAlignment="1">
      <alignment horizontal="center"/>
    </xf>
    <xf numFmtId="180" fontId="13" fillId="43" borderId="12" xfId="0" applyNumberFormat="1" applyFont="1" applyFill="1" applyBorder="1" applyAlignment="1">
      <alignment horizontal="center"/>
    </xf>
    <xf numFmtId="180" fontId="8" fillId="43" borderId="39" xfId="0" applyNumberFormat="1" applyFont="1" applyFill="1" applyBorder="1" applyAlignment="1">
      <alignment/>
    </xf>
    <xf numFmtId="0" fontId="8" fillId="0" borderId="80" xfId="0" applyFont="1" applyBorder="1" applyAlignment="1">
      <alignment horizontal="left" vertical="center" indent="1"/>
    </xf>
    <xf numFmtId="0" fontId="8" fillId="0" borderId="54" xfId="0" applyFont="1" applyBorder="1" applyAlignment="1">
      <alignment horizontal="left" vertical="center"/>
    </xf>
    <xf numFmtId="180" fontId="16" fillId="43" borderId="21" xfId="0" applyNumberFormat="1" applyFont="1" applyFill="1" applyBorder="1" applyAlignment="1" applyProtection="1">
      <alignment/>
      <protection/>
    </xf>
    <xf numFmtId="0" fontId="8" fillId="0" borderId="53" xfId="0" applyFont="1" applyBorder="1" applyAlignment="1">
      <alignment vertical="center"/>
    </xf>
    <xf numFmtId="180" fontId="16" fillId="43" borderId="21" xfId="0" applyNumberFormat="1" applyFont="1" applyFill="1" applyBorder="1" applyAlignment="1">
      <alignment/>
    </xf>
    <xf numFmtId="180" fontId="16" fillId="43" borderId="11" xfId="0" applyNumberFormat="1" applyFont="1" applyFill="1" applyBorder="1" applyAlignment="1">
      <alignment/>
    </xf>
    <xf numFmtId="0" fontId="13" fillId="0" borderId="40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0" fontId="13" fillId="33" borderId="21" xfId="0" applyNumberFormat="1" applyFont="1" applyFill="1" applyBorder="1" applyAlignment="1">
      <alignment/>
    </xf>
    <xf numFmtId="180" fontId="13" fillId="33" borderId="25" xfId="0" applyNumberFormat="1" applyFont="1" applyFill="1" applyBorder="1" applyAlignment="1">
      <alignment/>
    </xf>
    <xf numFmtId="180" fontId="13" fillId="33" borderId="39" xfId="0" applyNumberFormat="1" applyFont="1" applyFill="1" applyBorder="1" applyAlignment="1">
      <alignment/>
    </xf>
    <xf numFmtId="0" fontId="38" fillId="0" borderId="0" xfId="0" applyFont="1" applyAlignment="1" applyProtection="1" quotePrefix="1">
      <alignment/>
      <protection/>
    </xf>
    <xf numFmtId="0" fontId="8" fillId="0" borderId="40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80" fontId="13" fillId="33" borderId="11" xfId="0" applyNumberFormat="1" applyFont="1" applyFill="1" applyBorder="1" applyAlignment="1">
      <alignment/>
    </xf>
    <xf numFmtId="180" fontId="13" fillId="33" borderId="15" xfId="0" applyNumberFormat="1" applyFont="1" applyFill="1" applyBorder="1" applyAlignment="1">
      <alignment/>
    </xf>
    <xf numFmtId="0" fontId="8" fillId="0" borderId="0" xfId="0" applyFont="1" applyAlignment="1" applyProtection="1" quotePrefix="1">
      <alignment/>
      <protection/>
    </xf>
    <xf numFmtId="0" fontId="8" fillId="0" borderId="50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180" fontId="16" fillId="43" borderId="10" xfId="0" applyNumberFormat="1" applyFont="1" applyFill="1" applyBorder="1" applyAlignment="1">
      <alignment/>
    </xf>
    <xf numFmtId="180" fontId="8" fillId="43" borderId="10" xfId="0" applyNumberFormat="1" applyFont="1" applyFill="1" applyBorder="1" applyAlignment="1">
      <alignment/>
    </xf>
    <xf numFmtId="180" fontId="13" fillId="33" borderId="75" xfId="0" applyNumberFormat="1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13" fillId="0" borderId="67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180" fontId="13" fillId="33" borderId="64" xfId="0" applyNumberFormat="1" applyFont="1" applyFill="1" applyBorder="1" applyAlignment="1">
      <alignment/>
    </xf>
    <xf numFmtId="180" fontId="13" fillId="33" borderId="65" xfId="0" applyNumberFormat="1" applyFont="1" applyFill="1" applyBorder="1" applyAlignment="1">
      <alignment/>
    </xf>
    <xf numFmtId="180" fontId="13" fillId="33" borderId="82" xfId="0" applyNumberFormat="1" applyFont="1" applyFill="1" applyBorder="1" applyAlignment="1">
      <alignment/>
    </xf>
    <xf numFmtId="180" fontId="13" fillId="33" borderId="70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29" fillId="40" borderId="62" xfId="0" applyFont="1" applyFill="1" applyBorder="1" applyAlignment="1">
      <alignment horizontal="left" vertical="center"/>
    </xf>
    <xf numFmtId="0" fontId="13" fillId="40" borderId="77" xfId="0" applyFont="1" applyFill="1" applyBorder="1" applyAlignment="1">
      <alignment horizontal="left" vertical="center"/>
    </xf>
    <xf numFmtId="0" fontId="13" fillId="40" borderId="77" xfId="0" applyFont="1" applyFill="1" applyBorder="1" applyAlignment="1" applyProtection="1">
      <alignment vertical="center" wrapText="1"/>
      <protection/>
    </xf>
    <xf numFmtId="0" fontId="13" fillId="40" borderId="6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>
      <alignment vertical="center"/>
    </xf>
    <xf numFmtId="0" fontId="13" fillId="40" borderId="34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40" borderId="33" xfId="0" applyFont="1" applyFill="1" applyBorder="1" applyAlignment="1" applyProtection="1">
      <alignment vertical="center" wrapText="1"/>
      <protection/>
    </xf>
    <xf numFmtId="0" fontId="13" fillId="40" borderId="3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>
      <alignment vertical="center"/>
    </xf>
    <xf numFmtId="0" fontId="8" fillId="0" borderId="83" xfId="0" applyFont="1" applyFill="1" applyBorder="1" applyAlignment="1" applyProtection="1">
      <alignment/>
      <protection/>
    </xf>
    <xf numFmtId="180" fontId="16" fillId="41" borderId="39" xfId="0" applyNumberFormat="1" applyFont="1" applyFill="1" applyBorder="1" applyAlignment="1" applyProtection="1">
      <alignment/>
      <protection locked="0"/>
    </xf>
    <xf numFmtId="180" fontId="8" fillId="33" borderId="72" xfId="0" applyNumberFormat="1" applyFont="1" applyFill="1" applyBorder="1" applyAlignment="1">
      <alignment/>
    </xf>
    <xf numFmtId="0" fontId="8" fillId="0" borderId="74" xfId="0" applyFont="1" applyFill="1" applyBorder="1" applyAlignment="1" applyProtection="1">
      <alignment/>
      <protection/>
    </xf>
    <xf numFmtId="180" fontId="16" fillId="41" borderId="73" xfId="0" applyNumberFormat="1" applyFont="1" applyFill="1" applyBorder="1" applyAlignment="1" applyProtection="1">
      <alignment/>
      <protection locked="0"/>
    </xf>
    <xf numFmtId="180" fontId="8" fillId="33" borderId="73" xfId="0" applyNumberFormat="1" applyFont="1" applyFill="1" applyBorder="1" applyAlignment="1">
      <alignment/>
    </xf>
    <xf numFmtId="0" fontId="8" fillId="0" borderId="15" xfId="0" applyFont="1" applyFill="1" applyBorder="1" applyAlignment="1" applyProtection="1">
      <alignment/>
      <protection/>
    </xf>
    <xf numFmtId="0" fontId="8" fillId="0" borderId="7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74" xfId="0" applyFont="1" applyBorder="1" applyAlignment="1" applyProtection="1">
      <alignment vertical="center"/>
      <protection/>
    </xf>
    <xf numFmtId="0" fontId="8" fillId="0" borderId="83" xfId="0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180" fontId="8" fillId="33" borderId="70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0" fontId="13" fillId="40" borderId="62" xfId="0" applyFont="1" applyFill="1" applyBorder="1" applyAlignment="1">
      <alignment horizontal="left" vertical="center"/>
    </xf>
    <xf numFmtId="0" fontId="0" fillId="40" borderId="77" xfId="0" applyFill="1" applyBorder="1" applyAlignment="1">
      <alignment/>
    </xf>
    <xf numFmtId="0" fontId="15" fillId="40" borderId="70" xfId="0" applyFont="1" applyFill="1" applyBorder="1" applyAlignment="1" applyProtection="1">
      <alignment horizontal="center" wrapText="1"/>
      <protection/>
    </xf>
    <xf numFmtId="0" fontId="29" fillId="0" borderId="62" xfId="0" applyFont="1" applyBorder="1" applyAlignment="1">
      <alignment vertical="center"/>
    </xf>
    <xf numFmtId="0" fontId="0" fillId="0" borderId="77" xfId="0" applyBorder="1" applyAlignment="1">
      <alignment/>
    </xf>
    <xf numFmtId="0" fontId="14" fillId="0" borderId="58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 wrapText="1"/>
      <protection/>
    </xf>
    <xf numFmtId="180" fontId="13" fillId="33" borderId="71" xfId="0" applyNumberFormat="1" applyFont="1" applyFill="1" applyBorder="1" applyAlignment="1">
      <alignment/>
    </xf>
    <xf numFmtId="0" fontId="14" fillId="0" borderId="80" xfId="0" applyFont="1" applyBorder="1" applyAlignment="1" applyProtection="1">
      <alignment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60" xfId="0" applyFont="1" applyBorder="1" applyAlignment="1" applyProtection="1">
      <alignment/>
      <protection/>
    </xf>
    <xf numFmtId="0" fontId="14" fillId="0" borderId="78" xfId="0" applyFont="1" applyBorder="1" applyAlignment="1" applyProtection="1">
      <alignment wrapText="1"/>
      <protection/>
    </xf>
    <xf numFmtId="180" fontId="13" fillId="33" borderId="73" xfId="0" applyNumberFormat="1" applyFont="1" applyFill="1" applyBorder="1" applyAlignment="1">
      <alignment/>
    </xf>
    <xf numFmtId="0" fontId="15" fillId="0" borderId="62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 wrapText="1"/>
      <protection/>
    </xf>
    <xf numFmtId="0" fontId="14" fillId="0" borderId="26" xfId="0" applyFont="1" applyBorder="1" applyAlignment="1">
      <alignment/>
    </xf>
    <xf numFmtId="180" fontId="0" fillId="33" borderId="70" xfId="0" applyNumberFormat="1" applyFill="1" applyBorder="1" applyAlignment="1">
      <alignment/>
    </xf>
    <xf numFmtId="0" fontId="15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>
      <alignment/>
    </xf>
    <xf numFmtId="180" fontId="13" fillId="0" borderId="70" xfId="0" applyNumberFormat="1" applyFont="1" applyFill="1" applyBorder="1" applyAlignment="1">
      <alignment/>
    </xf>
    <xf numFmtId="180" fontId="8" fillId="0" borderId="39" xfId="0" applyNumberFormat="1" applyFont="1" applyFill="1" applyBorder="1" applyAlignment="1" applyProtection="1">
      <alignment/>
      <protection locked="0"/>
    </xf>
    <xf numFmtId="0" fontId="29" fillId="37" borderId="22" xfId="0" applyFont="1" applyFill="1" applyBorder="1" applyAlignment="1">
      <alignment vertical="center"/>
    </xf>
    <xf numFmtId="0" fontId="13" fillId="37" borderId="23" xfId="0" applyFont="1" applyFill="1" applyBorder="1" applyAlignment="1">
      <alignment vertical="center"/>
    </xf>
    <xf numFmtId="0" fontId="13" fillId="37" borderId="77" xfId="0" applyFont="1" applyFill="1" applyBorder="1" applyAlignment="1" applyProtection="1">
      <alignment horizontal="center" wrapText="1"/>
      <protection/>
    </xf>
    <xf numFmtId="0" fontId="13" fillId="37" borderId="63" xfId="0" applyFont="1" applyFill="1" applyBorder="1" applyAlignment="1" applyProtection="1">
      <alignment horizontal="center" wrapText="1"/>
      <protection/>
    </xf>
    <xf numFmtId="0" fontId="37" fillId="0" borderId="22" xfId="0" applyFont="1" applyFill="1" applyBorder="1" applyAlignment="1">
      <alignment/>
    </xf>
    <xf numFmtId="0" fontId="13" fillId="37" borderId="32" xfId="0" applyFont="1" applyFill="1" applyBorder="1" applyAlignment="1" applyProtection="1">
      <alignment horizontal="center" wrapText="1"/>
      <protection/>
    </xf>
    <xf numFmtId="0" fontId="13" fillId="37" borderId="41" xfId="0" applyFont="1" applyFill="1" applyBorder="1" applyAlignment="1" applyProtection="1">
      <alignment horizontal="center" wrapText="1"/>
      <protection/>
    </xf>
    <xf numFmtId="0" fontId="13" fillId="0" borderId="29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13" fillId="0" borderId="63" xfId="0" applyFont="1" applyBorder="1" applyAlignment="1">
      <alignment horizontal="center"/>
    </xf>
    <xf numFmtId="0" fontId="8" fillId="0" borderId="58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 wrapText="1"/>
      <protection/>
    </xf>
    <xf numFmtId="0" fontId="8" fillId="0" borderId="80" xfId="0" applyFont="1" applyBorder="1" applyAlignment="1" applyProtection="1">
      <alignment horizontal="left"/>
      <protection/>
    </xf>
    <xf numFmtId="0" fontId="14" fillId="0" borderId="0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 applyProtection="1">
      <alignment/>
      <protection/>
    </xf>
    <xf numFmtId="0" fontId="15" fillId="0" borderId="70" xfId="0" applyFont="1" applyFill="1" applyBorder="1" applyAlignment="1">
      <alignment horizontal="center"/>
    </xf>
    <xf numFmtId="0" fontId="15" fillId="0" borderId="28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70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80" fontId="14" fillId="0" borderId="31" xfId="0" applyNumberFormat="1" applyFont="1" applyFill="1" applyBorder="1" applyAlignment="1">
      <alignment/>
    </xf>
    <xf numFmtId="0" fontId="14" fillId="0" borderId="77" xfId="0" applyFont="1" applyFill="1" applyBorder="1" applyAlignment="1">
      <alignment/>
    </xf>
    <xf numFmtId="180" fontId="14" fillId="0" borderId="70" xfId="0" applyNumberFormat="1" applyFont="1" applyFill="1" applyBorder="1" applyAlignment="1">
      <alignment horizontal="center" wrapText="1"/>
    </xf>
    <xf numFmtId="180" fontId="35" fillId="0" borderId="70" xfId="0" applyNumberFormat="1" applyFont="1" applyFill="1" applyBorder="1" applyAlignment="1">
      <alignment horizontal="center"/>
    </xf>
    <xf numFmtId="180" fontId="35" fillId="0" borderId="70" xfId="0" applyNumberFormat="1" applyFont="1" applyFill="1" applyBorder="1" applyAlignment="1">
      <alignment horizontal="center" textRotation="90" wrapText="1"/>
    </xf>
    <xf numFmtId="180" fontId="35" fillId="0" borderId="33" xfId="0" applyNumberFormat="1" applyFont="1" applyFill="1" applyBorder="1" applyAlignment="1">
      <alignment horizontal="center"/>
    </xf>
    <xf numFmtId="180" fontId="35" fillId="0" borderId="33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23" xfId="0" applyFont="1" applyBorder="1" applyAlignment="1" applyProtection="1">
      <alignment horizontal="left" indent="1"/>
      <protection/>
    </xf>
    <xf numFmtId="180" fontId="14" fillId="0" borderId="23" xfId="0" applyNumberFormat="1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0" xfId="0" applyFont="1" applyBorder="1" applyAlignment="1" applyProtection="1">
      <alignment horizontal="left" indent="1"/>
      <protection/>
    </xf>
    <xf numFmtId="0" fontId="14" fillId="0" borderId="0" xfId="0" applyFont="1" applyBorder="1" applyAlignment="1">
      <alignment horizontal="left" indent="1"/>
    </xf>
    <xf numFmtId="180" fontId="35" fillId="0" borderId="0" xfId="0" applyNumberFormat="1" applyFont="1" applyFill="1" applyBorder="1" applyAlignment="1">
      <alignment/>
    </xf>
    <xf numFmtId="180" fontId="14" fillId="0" borderId="30" xfId="0" applyNumberFormat="1" applyFont="1" applyFill="1" applyBorder="1" applyAlignment="1">
      <alignment/>
    </xf>
    <xf numFmtId="180" fontId="35" fillId="0" borderId="30" xfId="0" applyNumberFormat="1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Fill="1" applyBorder="1" applyAlignment="1">
      <alignment/>
    </xf>
    <xf numFmtId="180" fontId="35" fillId="0" borderId="23" xfId="0" applyNumberFormat="1" applyFont="1" applyFill="1" applyBorder="1" applyAlignment="1">
      <alignment/>
    </xf>
    <xf numFmtId="180" fontId="14" fillId="0" borderId="28" xfId="0" applyNumberFormat="1" applyFont="1" applyFill="1" applyBorder="1" applyAlignment="1">
      <alignment/>
    </xf>
    <xf numFmtId="180" fontId="15" fillId="0" borderId="31" xfId="0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180" fontId="23" fillId="41" borderId="26" xfId="0" applyNumberFormat="1" applyFont="1" applyFill="1" applyBorder="1" applyAlignment="1" applyProtection="1">
      <alignment/>
      <protection locked="0"/>
    </xf>
    <xf numFmtId="180" fontId="14" fillId="0" borderId="31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180" fontId="23" fillId="41" borderId="58" xfId="0" applyNumberFormat="1" applyFont="1" applyFill="1" applyBorder="1" applyAlignment="1" applyProtection="1">
      <alignment/>
      <protection locked="0"/>
    </xf>
    <xf numFmtId="180" fontId="14" fillId="0" borderId="26" xfId="0" applyNumberFormat="1" applyFont="1" applyFill="1" applyBorder="1" applyAlignment="1" applyProtection="1">
      <alignment/>
      <protection/>
    </xf>
    <xf numFmtId="180" fontId="23" fillId="0" borderId="31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right"/>
    </xf>
    <xf numFmtId="180" fontId="14" fillId="0" borderId="29" xfId="0" applyNumberFormat="1" applyFont="1" applyFill="1" applyBorder="1" applyAlignment="1" applyProtection="1">
      <alignment/>
      <protection/>
    </xf>
    <xf numFmtId="180" fontId="15" fillId="33" borderId="84" xfId="0" applyNumberFormat="1" applyFont="1" applyFill="1" applyBorder="1" applyAlignment="1" applyProtection="1">
      <alignment/>
      <protection/>
    </xf>
    <xf numFmtId="0" fontId="15" fillId="0" borderId="23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  <protection/>
    </xf>
    <xf numFmtId="180" fontId="23" fillId="41" borderId="34" xfId="0" applyNumberFormat="1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/>
    </xf>
    <xf numFmtId="180" fontId="15" fillId="33" borderId="85" xfId="0" applyNumberFormat="1" applyFont="1" applyFill="1" applyBorder="1" applyAlignment="1" applyProtection="1">
      <alignment/>
      <protection locked="0"/>
    </xf>
    <xf numFmtId="184" fontId="15" fillId="0" borderId="10" xfId="0" applyNumberFormat="1" applyFont="1" applyBorder="1" applyAlignment="1">
      <alignment vertical="top"/>
    </xf>
    <xf numFmtId="0" fontId="15" fillId="0" borderId="11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184" fontId="15" fillId="0" borderId="13" xfId="0" applyNumberFormat="1" applyFont="1" applyBorder="1" applyAlignment="1">
      <alignment/>
    </xf>
    <xf numFmtId="184" fontId="15" fillId="0" borderId="13" xfId="0" applyNumberFormat="1" applyFont="1" applyBorder="1" applyAlignment="1">
      <alignment horizontal="center"/>
    </xf>
    <xf numFmtId="184" fontId="15" fillId="0" borderId="19" xfId="0" applyNumberFormat="1" applyFont="1" applyBorder="1" applyAlignment="1">
      <alignment horizontal="center"/>
    </xf>
    <xf numFmtId="184" fontId="40" fillId="41" borderId="12" xfId="0" applyNumberFormat="1" applyFont="1" applyFill="1" applyBorder="1" applyAlignment="1" applyProtection="1">
      <alignment horizontal="left"/>
      <protection locked="0"/>
    </xf>
    <xf numFmtId="180" fontId="23" fillId="41" borderId="17" xfId="0" applyNumberFormat="1" applyFont="1" applyFill="1" applyBorder="1" applyAlignment="1" applyProtection="1">
      <alignment horizontal="right"/>
      <protection locked="0"/>
    </xf>
    <xf numFmtId="180" fontId="14" fillId="33" borderId="12" xfId="66" applyNumberFormat="1" applyFont="1" applyFill="1" applyBorder="1">
      <alignment/>
      <protection/>
    </xf>
    <xf numFmtId="184" fontId="40" fillId="41" borderId="10" xfId="0" applyNumberFormat="1" applyFont="1" applyFill="1" applyBorder="1" applyAlignment="1" applyProtection="1">
      <alignment horizontal="left"/>
      <protection locked="0"/>
    </xf>
    <xf numFmtId="184" fontId="40" fillId="41" borderId="13" xfId="0" applyNumberFormat="1" applyFont="1" applyFill="1" applyBorder="1" applyAlignment="1" applyProtection="1">
      <alignment horizontal="left"/>
      <protection locked="0"/>
    </xf>
    <xf numFmtId="173" fontId="15" fillId="33" borderId="11" xfId="0" applyNumberFormat="1" applyFont="1" applyFill="1" applyBorder="1" applyAlignment="1">
      <alignment/>
    </xf>
    <xf numFmtId="180" fontId="15" fillId="33" borderId="39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180" fontId="23" fillId="43" borderId="33" xfId="0" applyNumberFormat="1" applyFont="1" applyFill="1" applyBorder="1" applyAlignment="1" applyProtection="1">
      <alignment/>
      <protection/>
    </xf>
    <xf numFmtId="180" fontId="23" fillId="41" borderId="41" xfId="0" applyNumberFormat="1" applyFont="1" applyFill="1" applyBorder="1" applyAlignment="1" applyProtection="1">
      <alignment/>
      <protection locked="0"/>
    </xf>
    <xf numFmtId="180" fontId="15" fillId="33" borderId="85" xfId="0" applyNumberFormat="1" applyFont="1" applyFill="1" applyBorder="1" applyAlignment="1" applyProtection="1">
      <alignment/>
      <protection/>
    </xf>
    <xf numFmtId="180" fontId="14" fillId="33" borderId="33" xfId="0" applyNumberFormat="1" applyFont="1" applyFill="1" applyBorder="1" applyAlignment="1" applyProtection="1">
      <alignment/>
      <protection/>
    </xf>
    <xf numFmtId="180" fontId="23" fillId="41" borderId="35" xfId="0" applyNumberFormat="1" applyFont="1" applyFill="1" applyBorder="1" applyAlignment="1" applyProtection="1">
      <alignment/>
      <protection locked="0"/>
    </xf>
    <xf numFmtId="180" fontId="23" fillId="41" borderId="81" xfId="0" applyNumberFormat="1" applyFont="1" applyFill="1" applyBorder="1" applyAlignment="1" applyProtection="1">
      <alignment/>
      <protection locked="0"/>
    </xf>
    <xf numFmtId="180" fontId="23" fillId="41" borderId="86" xfId="0" applyNumberFormat="1" applyFont="1" applyFill="1" applyBorder="1" applyAlignment="1" applyProtection="1">
      <alignment/>
      <protection locked="0"/>
    </xf>
    <xf numFmtId="180" fontId="14" fillId="33" borderId="41" xfId="0" applyNumberFormat="1" applyFont="1" applyFill="1" applyBorder="1" applyAlignment="1" applyProtection="1">
      <alignment/>
      <protection/>
    </xf>
    <xf numFmtId="180" fontId="23" fillId="41" borderId="42" xfId="0" applyNumberFormat="1" applyFont="1" applyFill="1" applyBorder="1" applyAlignment="1" applyProtection="1">
      <alignment/>
      <protection locked="0"/>
    </xf>
    <xf numFmtId="180" fontId="23" fillId="41" borderId="87" xfId="0" applyNumberFormat="1" applyFont="1" applyFill="1" applyBorder="1" applyAlignment="1" applyProtection="1">
      <alignment/>
      <protection locked="0"/>
    </xf>
    <xf numFmtId="180" fontId="23" fillId="41" borderId="69" xfId="0" applyNumberFormat="1" applyFont="1" applyFill="1" applyBorder="1" applyAlignment="1" applyProtection="1">
      <alignment/>
      <protection locked="0"/>
    </xf>
    <xf numFmtId="180" fontId="23" fillId="41" borderId="18" xfId="0" applyNumberFormat="1" applyFont="1" applyFill="1" applyBorder="1" applyAlignment="1" applyProtection="1">
      <alignment/>
      <protection locked="0"/>
    </xf>
    <xf numFmtId="180" fontId="23" fillId="41" borderId="31" xfId="0" applyNumberFormat="1" applyFont="1" applyFill="1" applyBorder="1" applyAlignment="1" applyProtection="1">
      <alignment/>
      <protection locked="0"/>
    </xf>
    <xf numFmtId="180" fontId="23" fillId="41" borderId="52" xfId="0" applyNumberFormat="1" applyFont="1" applyFill="1" applyBorder="1" applyAlignment="1" applyProtection="1">
      <alignment/>
      <protection locked="0"/>
    </xf>
    <xf numFmtId="180" fontId="23" fillId="41" borderId="20" xfId="0" applyNumberFormat="1" applyFont="1" applyFill="1" applyBorder="1" applyAlignment="1" applyProtection="1">
      <alignment/>
      <protection locked="0"/>
    </xf>
    <xf numFmtId="180" fontId="23" fillId="41" borderId="13" xfId="0" applyNumberFormat="1" applyFont="1" applyFill="1" applyBorder="1" applyAlignment="1" applyProtection="1">
      <alignment/>
      <protection locked="0"/>
    </xf>
    <xf numFmtId="180" fontId="23" fillId="41" borderId="59" xfId="0" applyNumberFormat="1" applyFont="1" applyFill="1" applyBorder="1" applyAlignment="1" applyProtection="1">
      <alignment/>
      <protection locked="0"/>
    </xf>
    <xf numFmtId="180" fontId="15" fillId="33" borderId="73" xfId="0" applyNumberFormat="1" applyFont="1" applyFill="1" applyBorder="1" applyAlignment="1" applyProtection="1">
      <alignment/>
      <protection/>
    </xf>
    <xf numFmtId="0" fontId="15" fillId="0" borderId="30" xfId="0" applyFont="1" applyBorder="1" applyAlignment="1" applyProtection="1">
      <alignment horizontal="right"/>
      <protection/>
    </xf>
    <xf numFmtId="0" fontId="19" fillId="0" borderId="30" xfId="0" applyFont="1" applyBorder="1" applyAlignment="1" applyProtection="1" quotePrefix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right"/>
      <protection/>
    </xf>
    <xf numFmtId="180" fontId="14" fillId="45" borderId="34" xfId="0" applyNumberFormat="1" applyFont="1" applyFill="1" applyBorder="1" applyAlignment="1" applyProtection="1">
      <alignment/>
      <protection/>
    </xf>
    <xf numFmtId="180" fontId="23" fillId="45" borderId="38" xfId="0" applyNumberFormat="1" applyFont="1" applyFill="1" applyBorder="1" applyAlignment="1" applyProtection="1">
      <alignment/>
      <protection/>
    </xf>
    <xf numFmtId="180" fontId="23" fillId="45" borderId="18" xfId="0" applyNumberFormat="1" applyFont="1" applyFill="1" applyBorder="1" applyAlignment="1" applyProtection="1">
      <alignment/>
      <protection/>
    </xf>
    <xf numFmtId="180" fontId="23" fillId="45" borderId="12" xfId="0" applyNumberFormat="1" applyFont="1" applyFill="1" applyBorder="1" applyAlignment="1" applyProtection="1">
      <alignment/>
      <protection/>
    </xf>
    <xf numFmtId="180" fontId="23" fillId="45" borderId="31" xfId="0" applyNumberFormat="1" applyFont="1" applyFill="1" applyBorder="1" applyAlignment="1" applyProtection="1">
      <alignment/>
      <protection/>
    </xf>
    <xf numFmtId="180" fontId="23" fillId="45" borderId="52" xfId="0" applyNumberFormat="1" applyFont="1" applyFill="1" applyBorder="1" applyAlignment="1" applyProtection="1">
      <alignment/>
      <protection/>
    </xf>
    <xf numFmtId="180" fontId="23" fillId="45" borderId="20" xfId="0" applyNumberFormat="1" applyFont="1" applyFill="1" applyBorder="1" applyAlignment="1" applyProtection="1">
      <alignment/>
      <protection/>
    </xf>
    <xf numFmtId="180" fontId="23" fillId="45" borderId="13" xfId="0" applyNumberFormat="1" applyFont="1" applyFill="1" applyBorder="1" applyAlignment="1" applyProtection="1">
      <alignment/>
      <protection/>
    </xf>
    <xf numFmtId="180" fontId="23" fillId="45" borderId="59" xfId="0" applyNumberFormat="1" applyFont="1" applyFill="1" applyBorder="1" applyAlignment="1" applyProtection="1">
      <alignment/>
      <protection/>
    </xf>
    <xf numFmtId="180" fontId="15" fillId="45" borderId="73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left"/>
    </xf>
    <xf numFmtId="180" fontId="14" fillId="33" borderId="70" xfId="0" applyNumberFormat="1" applyFont="1" applyFill="1" applyBorder="1" applyAlignment="1" applyProtection="1">
      <alignment/>
      <protection/>
    </xf>
    <xf numFmtId="180" fontId="23" fillId="43" borderId="64" xfId="0" applyNumberFormat="1" applyFont="1" applyFill="1" applyBorder="1" applyAlignment="1" applyProtection="1">
      <alignment/>
      <protection/>
    </xf>
    <xf numFmtId="180" fontId="23" fillId="41" borderId="64" xfId="0" applyNumberFormat="1" applyFont="1" applyFill="1" applyBorder="1" applyAlignment="1" applyProtection="1">
      <alignment/>
      <protection locked="0"/>
    </xf>
    <xf numFmtId="180" fontId="23" fillId="43" borderId="65" xfId="0" applyNumberFormat="1" applyFont="1" applyFill="1" applyBorder="1" applyAlignment="1" applyProtection="1">
      <alignment/>
      <protection/>
    </xf>
    <xf numFmtId="180" fontId="23" fillId="43" borderId="63" xfId="0" applyNumberFormat="1" applyFont="1" applyFill="1" applyBorder="1" applyAlignment="1" applyProtection="1">
      <alignment/>
      <protection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180" fontId="23" fillId="41" borderId="70" xfId="0" applyNumberFormat="1" applyFont="1" applyFill="1" applyBorder="1" applyAlignment="1" applyProtection="1">
      <alignment/>
      <protection locked="0"/>
    </xf>
    <xf numFmtId="180" fontId="23" fillId="41" borderId="88" xfId="0" applyNumberFormat="1" applyFont="1" applyFill="1" applyBorder="1" applyAlignment="1" applyProtection="1">
      <alignment/>
      <protection locked="0"/>
    </xf>
    <xf numFmtId="0" fontId="23" fillId="41" borderId="89" xfId="0" applyFont="1" applyFill="1" applyBorder="1" applyAlignment="1" applyProtection="1">
      <alignment/>
      <protection locked="0"/>
    </xf>
    <xf numFmtId="180" fontId="23" fillId="0" borderId="31" xfId="0" applyNumberFormat="1" applyFont="1" applyFill="1" applyBorder="1" applyAlignment="1" applyProtection="1">
      <alignment/>
      <protection locked="0"/>
    </xf>
    <xf numFmtId="180" fontId="23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180" fontId="14" fillId="0" borderId="0" xfId="0" applyNumberFormat="1" applyFont="1" applyFill="1" applyBorder="1" applyAlignment="1" applyProtection="1">
      <alignment/>
      <protection locked="0"/>
    </xf>
    <xf numFmtId="180" fontId="14" fillId="0" borderId="31" xfId="0" applyNumberFormat="1" applyFont="1" applyFill="1" applyBorder="1" applyAlignment="1" applyProtection="1">
      <alignment/>
      <protection locked="0"/>
    </xf>
    <xf numFmtId="180" fontId="23" fillId="41" borderId="72" xfId="0" applyNumberFormat="1" applyFont="1" applyFill="1" applyBorder="1" applyAlignment="1" applyProtection="1">
      <alignment/>
      <protection locked="0"/>
    </xf>
    <xf numFmtId="180" fontId="14" fillId="43" borderId="58" xfId="0" applyNumberFormat="1" applyFont="1" applyFill="1" applyBorder="1" applyAlignment="1" applyProtection="1">
      <alignment/>
      <protection locked="0"/>
    </xf>
    <xf numFmtId="180" fontId="15" fillId="0" borderId="31" xfId="0" applyNumberFormat="1" applyFont="1" applyFill="1" applyBorder="1" applyAlignment="1" applyProtection="1">
      <alignment/>
      <protection/>
    </xf>
    <xf numFmtId="1" fontId="8" fillId="0" borderId="0" xfId="58" applyNumberFormat="1" applyFont="1" applyProtection="1">
      <alignment/>
      <protection/>
    </xf>
    <xf numFmtId="1" fontId="8" fillId="0" borderId="0" xfId="58" applyNumberFormat="1" applyFont="1" applyAlignment="1" applyProtection="1">
      <alignment horizontal="center"/>
      <protection/>
    </xf>
    <xf numFmtId="0" fontId="8" fillId="0" borderId="0" xfId="64" applyFont="1" applyProtection="1">
      <alignment/>
      <protection/>
    </xf>
    <xf numFmtId="0" fontId="8" fillId="0" borderId="0" xfId="67" applyFont="1" applyFill="1" applyBorder="1" applyAlignment="1" applyProtection="1">
      <alignment horizontal="center" vertical="center"/>
      <protection/>
    </xf>
    <xf numFmtId="0" fontId="8" fillId="0" borderId="22" xfId="67" applyFont="1" applyFill="1" applyBorder="1" applyAlignment="1" applyProtection="1">
      <alignment horizontal="left" vertical="center"/>
      <protection/>
    </xf>
    <xf numFmtId="0" fontId="13" fillId="0" borderId="22" xfId="67" applyFont="1" applyFill="1" applyBorder="1" applyAlignment="1" applyProtection="1">
      <alignment horizontal="center" vertical="center"/>
      <protection/>
    </xf>
    <xf numFmtId="0" fontId="13" fillId="0" borderId="22" xfId="67" applyFont="1" applyFill="1" applyBorder="1" applyAlignment="1" applyProtection="1">
      <alignment horizontal="left" vertical="center"/>
      <protection/>
    </xf>
    <xf numFmtId="1" fontId="8" fillId="0" borderId="33" xfId="64" applyNumberFormat="1" applyFont="1" applyFill="1" applyBorder="1" applyAlignment="1" applyProtection="1">
      <alignment horizont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  <xf numFmtId="0" fontId="8" fillId="0" borderId="34" xfId="67" applyFont="1" applyFill="1" applyBorder="1" applyAlignment="1" applyProtection="1">
      <alignment horizontal="left" vertical="center" indent="1"/>
      <protection/>
    </xf>
    <xf numFmtId="0" fontId="0" fillId="0" borderId="34" xfId="0" applyBorder="1" applyAlignment="1">
      <alignment horizontal="center"/>
    </xf>
    <xf numFmtId="0" fontId="8" fillId="46" borderId="40" xfId="67" applyFont="1" applyFill="1" applyBorder="1" applyAlignment="1" applyProtection="1">
      <alignment horizontal="center" vertical="center"/>
      <protection/>
    </xf>
    <xf numFmtId="0" fontId="8" fillId="46" borderId="11" xfId="67" applyFont="1" applyFill="1" applyBorder="1" applyAlignment="1" applyProtection="1">
      <alignment horizontal="center" vertical="center"/>
      <protection/>
    </xf>
    <xf numFmtId="0" fontId="16" fillId="41" borderId="11" xfId="67" applyFont="1" applyFill="1" applyBorder="1" applyAlignment="1" applyProtection="1">
      <alignment horizontal="center" vertical="center"/>
      <protection locked="0"/>
    </xf>
    <xf numFmtId="174" fontId="16" fillId="0" borderId="41" xfId="64" applyNumberFormat="1" applyFont="1" applyFill="1" applyBorder="1" applyProtection="1">
      <alignment/>
      <protection/>
    </xf>
    <xf numFmtId="1" fontId="13" fillId="0" borderId="29" xfId="64" applyNumberFormat="1" applyFont="1" applyBorder="1" applyProtection="1">
      <alignment/>
      <protection/>
    </xf>
    <xf numFmtId="1" fontId="13" fillId="0" borderId="30" xfId="64" applyNumberFormat="1" applyFont="1" applyBorder="1" applyProtection="1">
      <alignment/>
      <protection/>
    </xf>
    <xf numFmtId="0" fontId="13" fillId="0" borderId="33" xfId="67" applyFont="1" applyFill="1" applyBorder="1" applyAlignment="1" applyProtection="1">
      <alignment horizontal="left" vertical="center"/>
      <protection/>
    </xf>
    <xf numFmtId="0" fontId="8" fillId="0" borderId="26" xfId="67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15" fillId="0" borderId="26" xfId="0" applyFont="1" applyFill="1" applyBorder="1" applyAlignment="1" applyProtection="1">
      <alignment/>
      <protection/>
    </xf>
    <xf numFmtId="174" fontId="14" fillId="33" borderId="64" xfId="0" applyNumberFormat="1" applyFont="1" applyFill="1" applyBorder="1" applyAlignment="1" applyProtection="1">
      <alignment horizontal="right"/>
      <protection/>
    </xf>
    <xf numFmtId="170" fontId="8" fillId="0" borderId="11" xfId="67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5" fillId="46" borderId="0" xfId="0" applyFont="1" applyFill="1" applyAlignment="1">
      <alignment vertical="center" wrapText="1"/>
    </xf>
    <xf numFmtId="170" fontId="5" fillId="0" borderId="10" xfId="0" applyNumberFormat="1" applyFont="1" applyBorder="1" applyAlignment="1">
      <alignment horizontal="center"/>
    </xf>
    <xf numFmtId="0" fontId="24" fillId="41" borderId="90" xfId="61" applyNumberFormat="1" applyFont="1" applyFill="1" applyBorder="1" applyAlignment="1" applyProtection="1">
      <alignment horizontal="left" vertical="center"/>
      <protection locked="0"/>
    </xf>
    <xf numFmtId="0" fontId="24" fillId="41" borderId="24" xfId="61" applyNumberFormat="1" applyFont="1" applyFill="1" applyBorder="1" applyAlignment="1" applyProtection="1">
      <alignment horizontal="left" vertical="center"/>
      <protection locked="0"/>
    </xf>
    <xf numFmtId="0" fontId="24" fillId="41" borderId="79" xfId="6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17" fillId="0" borderId="0" xfId="54" applyFont="1" applyAlignment="1" applyProtection="1">
      <alignment/>
      <protection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180" fontId="0" fillId="0" borderId="3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180" fontId="0" fillId="0" borderId="30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5" fillId="0" borderId="67" xfId="0" applyFont="1" applyBorder="1" applyAlignment="1" applyProtection="1">
      <alignment horizontal="center"/>
      <protection/>
    </xf>
    <xf numFmtId="0" fontId="15" fillId="0" borderId="82" xfId="0" applyFont="1" applyBorder="1" applyAlignment="1" applyProtection="1">
      <alignment horizontal="center"/>
      <protection/>
    </xf>
    <xf numFmtId="0" fontId="15" fillId="0" borderId="66" xfId="0" applyFont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33" xfId="0" applyFont="1" applyBorder="1" applyAlignment="1" applyProtection="1">
      <alignment horizont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83" xfId="0" applyFont="1" applyBorder="1" applyAlignment="1" applyProtection="1">
      <alignment horizontal="center"/>
      <protection/>
    </xf>
    <xf numFmtId="0" fontId="15" fillId="0" borderId="71" xfId="0" applyFont="1" applyBorder="1" applyAlignment="1" applyProtection="1">
      <alignment horizontal="center"/>
      <protection/>
    </xf>
    <xf numFmtId="0" fontId="15" fillId="0" borderId="4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180" fontId="16" fillId="41" borderId="53" xfId="0" applyNumberFormat="1" applyFont="1" applyFill="1" applyBorder="1" applyAlignment="1" applyProtection="1">
      <alignment horizontal="right" vertical="center"/>
      <protection locked="0"/>
    </xf>
    <xf numFmtId="180" fontId="16" fillId="41" borderId="19" xfId="0" applyNumberFormat="1" applyFont="1" applyFill="1" applyBorder="1" applyAlignment="1" applyProtection="1">
      <alignment horizontal="right"/>
      <protection locked="0"/>
    </xf>
    <xf numFmtId="180" fontId="16" fillId="41" borderId="51" xfId="0" applyNumberFormat="1" applyFont="1" applyFill="1" applyBorder="1" applyAlignment="1" applyProtection="1">
      <alignment horizontal="right" vertical="center"/>
      <protection locked="0"/>
    </xf>
    <xf numFmtId="180" fontId="16" fillId="41" borderId="68" xfId="0" applyNumberFormat="1" applyFont="1" applyFill="1" applyBorder="1" applyAlignment="1" applyProtection="1">
      <alignment horizontal="right" vertical="center"/>
      <protection locked="0"/>
    </xf>
    <xf numFmtId="180" fontId="16" fillId="41" borderId="15" xfId="0" applyNumberFormat="1" applyFont="1" applyFill="1" applyBorder="1" applyAlignment="1" applyProtection="1">
      <alignment horizontal="right"/>
      <protection locked="0"/>
    </xf>
    <xf numFmtId="180" fontId="16" fillId="41" borderId="50" xfId="0" applyNumberFormat="1" applyFont="1" applyFill="1" applyBorder="1" applyAlignment="1" applyProtection="1">
      <alignment horizontal="right"/>
      <protection locked="0"/>
    </xf>
    <xf numFmtId="180" fontId="16" fillId="41" borderId="14" xfId="0" applyNumberFormat="1" applyFont="1" applyFill="1" applyBorder="1" applyAlignment="1" applyProtection="1">
      <alignment horizontal="right"/>
      <protection locked="0"/>
    </xf>
    <xf numFmtId="180" fontId="16" fillId="41" borderId="83" xfId="0" applyNumberFormat="1" applyFont="1" applyFill="1" applyBorder="1" applyAlignment="1" applyProtection="1">
      <alignment horizontal="right"/>
      <protection locked="0"/>
    </xf>
    <xf numFmtId="180" fontId="16" fillId="41" borderId="91" xfId="0" applyNumberFormat="1" applyFont="1" applyFill="1" applyBorder="1" applyAlignment="1" applyProtection="1">
      <alignment horizontal="right"/>
      <protection locked="0"/>
    </xf>
    <xf numFmtId="180" fontId="16" fillId="41" borderId="45" xfId="0" applyNumberFormat="1" applyFont="1" applyFill="1" applyBorder="1" applyAlignment="1" applyProtection="1">
      <alignment horizontal="right"/>
      <protection locked="0"/>
    </xf>
    <xf numFmtId="180" fontId="16" fillId="41" borderId="51" xfId="0" applyNumberFormat="1" applyFont="1" applyFill="1" applyBorder="1" applyAlignment="1" applyProtection="1">
      <alignment horizontal="right"/>
      <protection locked="0"/>
    </xf>
    <xf numFmtId="180" fontId="16" fillId="41" borderId="77" xfId="0" applyNumberFormat="1" applyFont="1" applyFill="1" applyBorder="1" applyAlignment="1" applyProtection="1">
      <alignment horizontal="right"/>
      <protection locked="0"/>
    </xf>
    <xf numFmtId="180" fontId="16" fillId="41" borderId="66" xfId="0" applyNumberFormat="1" applyFont="1" applyFill="1" applyBorder="1" applyAlignment="1" applyProtection="1">
      <alignment horizontal="right"/>
      <protection locked="0"/>
    </xf>
    <xf numFmtId="180" fontId="16" fillId="41" borderId="32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Alignment="1">
      <alignment/>
    </xf>
    <xf numFmtId="1" fontId="0" fillId="0" borderId="22" xfId="64" applyNumberFormat="1" applyFont="1" applyBorder="1" applyAlignment="1" applyProtection="1">
      <alignment wrapText="1"/>
      <protection/>
    </xf>
    <xf numFmtId="1" fontId="5" fillId="0" borderId="23" xfId="64" applyNumberFormat="1" applyFont="1" applyBorder="1" applyAlignment="1" applyProtection="1">
      <alignment wrapText="1"/>
      <protection/>
    </xf>
    <xf numFmtId="1" fontId="5" fillId="0" borderId="86" xfId="64" applyNumberFormat="1" applyFont="1" applyBorder="1" applyAlignment="1" applyProtection="1">
      <alignment horizontal="center" wrapText="1"/>
      <protection/>
    </xf>
    <xf numFmtId="1" fontId="5" fillId="0" borderId="55" xfId="64" applyNumberFormat="1" applyFont="1" applyBorder="1" applyAlignment="1" applyProtection="1">
      <alignment horizontal="centerContinuous" wrapText="1"/>
      <protection/>
    </xf>
    <xf numFmtId="1" fontId="5" fillId="0" borderId="26" xfId="64" applyNumberFormat="1" applyFont="1" applyBorder="1" applyAlignment="1" applyProtection="1">
      <alignment wrapText="1"/>
      <protection/>
    </xf>
    <xf numFmtId="1" fontId="5" fillId="0" borderId="0" xfId="64" applyNumberFormat="1" applyFont="1" applyBorder="1" applyAlignment="1" applyProtection="1">
      <alignment wrapText="1"/>
      <protection/>
    </xf>
    <xf numFmtId="1" fontId="5" fillId="0" borderId="68" xfId="64" applyNumberFormat="1" applyFont="1" applyBorder="1" applyAlignment="1" applyProtection="1">
      <alignment wrapText="1"/>
      <protection/>
    </xf>
    <xf numFmtId="1" fontId="5" fillId="0" borderId="50" xfId="64" applyNumberFormat="1" applyFont="1" applyBorder="1" applyAlignment="1" applyProtection="1">
      <alignment horizontal="center" vertical="center" wrapText="1"/>
      <protection/>
    </xf>
    <xf numFmtId="1" fontId="5" fillId="0" borderId="51" xfId="64" applyNumberFormat="1" applyFont="1" applyBorder="1" applyAlignment="1" applyProtection="1">
      <alignment horizontal="center" vertical="center" wrapText="1"/>
      <protection/>
    </xf>
    <xf numFmtId="1" fontId="5" fillId="0" borderId="0" xfId="64" applyNumberFormat="1" applyFont="1" applyFill="1" applyBorder="1" applyAlignment="1" applyProtection="1">
      <alignment horizontal="center" vertical="center" wrapText="1"/>
      <protection/>
    </xf>
    <xf numFmtId="1" fontId="5" fillId="0" borderId="29" xfId="64" applyNumberFormat="1" applyFont="1" applyBorder="1" applyProtection="1">
      <alignment/>
      <protection/>
    </xf>
    <xf numFmtId="1" fontId="5" fillId="0" borderId="30" xfId="64" applyNumberFormat="1" applyFont="1" applyBorder="1" applyProtection="1">
      <alignment/>
      <protection/>
    </xf>
    <xf numFmtId="1" fontId="5" fillId="0" borderId="69" xfId="64" applyNumberFormat="1" applyFont="1" applyBorder="1" applyProtection="1">
      <alignment/>
      <protection/>
    </xf>
    <xf numFmtId="1" fontId="5" fillId="0" borderId="42" xfId="64" applyNumberFormat="1" applyFont="1" applyBorder="1" applyAlignment="1" applyProtection="1">
      <alignment horizontal="center"/>
      <protection/>
    </xf>
    <xf numFmtId="1" fontId="5" fillId="0" borderId="69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5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86" xfId="65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86" xfId="0" applyFont="1" applyBorder="1" applyAlignment="1" applyProtection="1">
      <alignment/>
      <protection/>
    </xf>
    <xf numFmtId="0" fontId="5" fillId="0" borderId="0" xfId="64" applyFont="1" applyBorder="1" applyProtection="1">
      <alignment/>
      <protection/>
    </xf>
    <xf numFmtId="1" fontId="0" fillId="0" borderId="68" xfId="65" applyNumberFormat="1" applyFont="1" applyBorder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8" xfId="65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38" xfId="0" applyNumberFormat="1" applyFont="1" applyBorder="1" applyAlignment="1" applyProtection="1">
      <alignment horizontal="center" vertical="center"/>
      <protection/>
    </xf>
    <xf numFmtId="2" fontId="0" fillId="0" borderId="68" xfId="0" applyNumberFormat="1" applyFont="1" applyBorder="1" applyAlignment="1" applyProtection="1">
      <alignment horizontal="center" vertical="center"/>
      <protection/>
    </xf>
    <xf numFmtId="2" fontId="0" fillId="43" borderId="40" xfId="66" applyNumberFormat="1" applyFont="1" applyFill="1" applyBorder="1" applyAlignment="1" applyProtection="1">
      <alignment horizontal="center" vertical="center"/>
      <protection/>
    </xf>
    <xf numFmtId="2" fontId="0" fillId="43" borderId="45" xfId="66" applyNumberFormat="1" applyFont="1" applyFill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0" fontId="0" fillId="0" borderId="22" xfId="64" applyFont="1" applyBorder="1" applyProtection="1">
      <alignment/>
      <protection/>
    </xf>
    <xf numFmtId="0" fontId="5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8" xfId="65" applyFont="1" applyFill="1" applyBorder="1" applyAlignment="1" applyProtection="1">
      <alignment horizontal="center"/>
      <protection/>
    </xf>
    <xf numFmtId="2" fontId="0" fillId="0" borderId="46" xfId="0" applyNumberFormat="1" applyFont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1" fontId="0" fillId="0" borderId="22" xfId="64" applyNumberFormat="1" applyFont="1" applyFill="1" applyBorder="1" applyProtection="1">
      <alignment/>
      <protection/>
    </xf>
    <xf numFmtId="0" fontId="5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86" xfId="65" applyFont="1" applyBorder="1" applyAlignment="1" applyProtection="1">
      <alignment horizont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86" xfId="0" applyNumberFormat="1" applyFont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5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9" xfId="65" applyFont="1" applyBorder="1" applyAlignment="1" applyProtection="1">
      <alignment horizontal="center"/>
      <protection/>
    </xf>
    <xf numFmtId="0" fontId="5" fillId="0" borderId="76" xfId="61" applyFont="1" applyBorder="1" applyAlignment="1" applyProtection="1">
      <alignment horizontal="centerContinuous" vertical="center"/>
      <protection/>
    </xf>
    <xf numFmtId="0" fontId="5" fillId="0" borderId="92" xfId="61" applyFont="1" applyBorder="1" applyAlignment="1" applyProtection="1">
      <alignment horizontal="centerContinuous" vertical="center"/>
      <protection/>
    </xf>
    <xf numFmtId="0" fontId="5" fillId="0" borderId="91" xfId="61" applyFont="1" applyBorder="1" applyAlignment="1" applyProtection="1">
      <alignment horizontal="centerContinuous" vertical="center"/>
      <protection/>
    </xf>
    <xf numFmtId="0" fontId="5" fillId="0" borderId="40" xfId="61" applyFont="1" applyBorder="1" applyAlignment="1" applyProtection="1">
      <alignment horizontal="center" vertical="center" wrapText="1"/>
      <protection/>
    </xf>
    <xf numFmtId="0" fontId="5" fillId="0" borderId="11" xfId="61" applyFont="1" applyBorder="1" applyAlignment="1" applyProtection="1">
      <alignment horizontal="center" vertical="center" wrapText="1"/>
      <protection/>
    </xf>
    <xf numFmtId="0" fontId="5" fillId="0" borderId="45" xfId="61" applyFont="1" applyBorder="1" applyAlignment="1" applyProtection="1">
      <alignment horizontal="center" vertical="center" wrapText="1"/>
      <protection/>
    </xf>
    <xf numFmtId="0" fontId="0" fillId="0" borderId="58" xfId="61" applyFont="1" applyBorder="1" applyAlignment="1" applyProtection="1">
      <alignment horizontal="center" vertical="center"/>
      <protection/>
    </xf>
    <xf numFmtId="0" fontId="0" fillId="0" borderId="27" xfId="61" applyFont="1" applyBorder="1" applyAlignment="1" applyProtection="1">
      <alignment horizontal="center" vertical="center"/>
      <protection/>
    </xf>
    <xf numFmtId="0" fontId="0" fillId="0" borderId="59" xfId="61" applyFont="1" applyBorder="1" applyAlignment="1" applyProtection="1">
      <alignment horizontal="center" vertical="center"/>
      <protection/>
    </xf>
    <xf numFmtId="0" fontId="0" fillId="0" borderId="58" xfId="61" applyFont="1" applyFill="1" applyBorder="1" applyAlignment="1" applyProtection="1">
      <alignment horizontal="center" vertical="center"/>
      <protection/>
    </xf>
    <xf numFmtId="0" fontId="0" fillId="0" borderId="59" xfId="61" applyFont="1" applyFill="1" applyBorder="1" applyAlignment="1" applyProtection="1">
      <alignment horizontal="center" vertical="center"/>
      <protection/>
    </xf>
    <xf numFmtId="173" fontId="0" fillId="42" borderId="40" xfId="61" applyNumberFormat="1" applyFont="1" applyFill="1" applyBorder="1" applyAlignment="1" applyProtection="1">
      <alignment horizontal="center" vertical="center"/>
      <protection/>
    </xf>
    <xf numFmtId="173" fontId="0" fillId="42" borderId="11" xfId="61" applyNumberFormat="1" applyFont="1" applyFill="1" applyBorder="1" applyAlignment="1" applyProtection="1">
      <alignment horizontal="center" vertical="center"/>
      <protection/>
    </xf>
    <xf numFmtId="173" fontId="0" fillId="42" borderId="45" xfId="61" applyNumberFormat="1" applyFont="1" applyFill="1" applyBorder="1" applyAlignment="1" applyProtection="1">
      <alignment horizontal="center" vertical="center"/>
      <protection/>
    </xf>
    <xf numFmtId="170" fontId="0" fillId="42" borderId="45" xfId="71" applyNumberFormat="1" applyFont="1" applyFill="1" applyBorder="1" applyAlignment="1" applyProtection="1">
      <alignment horizontal="center" vertical="center"/>
      <protection/>
    </xf>
    <xf numFmtId="173" fontId="0" fillId="42" borderId="46" xfId="61" applyNumberFormat="1" applyFont="1" applyFill="1" applyBorder="1" applyAlignment="1" applyProtection="1">
      <alignment horizontal="center" vertical="center"/>
      <protection/>
    </xf>
    <xf numFmtId="173" fontId="0" fillId="42" borderId="49" xfId="61" applyNumberFormat="1" applyFont="1" applyFill="1" applyBorder="1" applyAlignment="1" applyProtection="1">
      <alignment horizontal="center" vertical="center"/>
      <protection/>
    </xf>
    <xf numFmtId="173" fontId="0" fillId="42" borderId="48" xfId="61" applyNumberFormat="1" applyFont="1" applyFill="1" applyBorder="1" applyAlignment="1" applyProtection="1">
      <alignment horizontal="center" vertical="center"/>
      <protection/>
    </xf>
    <xf numFmtId="170" fontId="0" fillId="42" borderId="48" xfId="71" applyNumberFormat="1" applyFont="1" applyFill="1" applyBorder="1" applyAlignment="1" applyProtection="1">
      <alignment horizontal="center" vertical="center"/>
      <protection/>
    </xf>
    <xf numFmtId="170" fontId="0" fillId="42" borderId="45" xfId="72" applyNumberFormat="1" applyFont="1" applyFill="1" applyBorder="1" applyAlignment="1" applyProtection="1">
      <alignment horizontal="center" vertical="center"/>
      <protection/>
    </xf>
    <xf numFmtId="0" fontId="13" fillId="0" borderId="40" xfId="67" applyFont="1" applyFill="1" applyBorder="1" applyAlignment="1" applyProtection="1">
      <alignment vertical="center"/>
      <protection/>
    </xf>
    <xf numFmtId="170" fontId="0" fillId="42" borderId="48" xfId="72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Protection="1">
      <alignment/>
      <protection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76" xfId="59" applyFont="1" applyBorder="1" applyAlignment="1" applyProtection="1">
      <alignment horizontal="centerContinuous" vertical="center"/>
      <protection/>
    </xf>
    <xf numFmtId="0" fontId="0" fillId="0" borderId="92" xfId="59" applyFont="1" applyBorder="1" applyAlignment="1" applyProtection="1">
      <alignment horizontal="centerContinuous" vertical="center"/>
      <protection/>
    </xf>
    <xf numFmtId="0" fontId="0" fillId="0" borderId="91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40" xfId="59" applyFont="1" applyBorder="1" applyAlignment="1" applyProtection="1">
      <alignment horizontal="center"/>
      <protection/>
    </xf>
    <xf numFmtId="0" fontId="0" fillId="0" borderId="11" xfId="59" applyFont="1" applyBorder="1" applyAlignment="1" applyProtection="1">
      <alignment horizontal="center"/>
      <protection/>
    </xf>
    <xf numFmtId="0" fontId="0" fillId="0" borderId="45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0" fontId="0" fillId="0" borderId="0" xfId="59" applyFont="1" applyBorder="1" applyProtection="1">
      <alignment/>
      <protection/>
    </xf>
    <xf numFmtId="0" fontId="5" fillId="0" borderId="22" xfId="61" applyFont="1" applyBorder="1" applyProtection="1">
      <alignment/>
      <protection/>
    </xf>
    <xf numFmtId="0" fontId="5" fillId="0" borderId="55" xfId="61" applyFont="1" applyBorder="1" applyAlignment="1" applyProtection="1">
      <alignment horizontal="centerContinuous" vertical="center"/>
      <protection/>
    </xf>
    <xf numFmtId="0" fontId="5" fillId="0" borderId="56" xfId="61" applyFont="1" applyBorder="1" applyAlignment="1" applyProtection="1">
      <alignment horizontal="centerContinuous" vertical="center"/>
      <protection/>
    </xf>
    <xf numFmtId="0" fontId="0" fillId="0" borderId="57" xfId="61" applyFont="1" applyBorder="1" applyAlignment="1" applyProtection="1">
      <alignment horizontal="centerContinuous" vertical="center"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5" fillId="0" borderId="26" xfId="61" applyFont="1" applyBorder="1" applyProtection="1">
      <alignment/>
      <protection/>
    </xf>
    <xf numFmtId="0" fontId="5" fillId="0" borderId="58" xfId="61" applyFont="1" applyBorder="1" applyProtection="1">
      <alignment/>
      <protection/>
    </xf>
    <xf numFmtId="0" fontId="5" fillId="0" borderId="52" xfId="61" applyFont="1" applyFill="1" applyBorder="1" applyAlignment="1" applyProtection="1">
      <alignment horizontal="center" vertical="center"/>
      <protection/>
    </xf>
    <xf numFmtId="0" fontId="5" fillId="0" borderId="13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 indent="1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0" fontId="5" fillId="0" borderId="29" xfId="61" applyFont="1" applyBorder="1" applyAlignment="1" applyProtection="1">
      <alignment horizontal="left" indent="1"/>
      <protection/>
    </xf>
    <xf numFmtId="173" fontId="5" fillId="42" borderId="46" xfId="61" applyNumberFormat="1" applyFont="1" applyFill="1" applyBorder="1" applyAlignment="1" applyProtection="1">
      <alignment horizontal="center" vertical="center"/>
      <protection/>
    </xf>
    <xf numFmtId="173" fontId="5" fillId="42" borderId="47" xfId="61" applyNumberFormat="1" applyFont="1" applyFill="1" applyBorder="1" applyAlignment="1" applyProtection="1">
      <alignment horizontal="center" vertical="center"/>
      <protection/>
    </xf>
    <xf numFmtId="173" fontId="5" fillId="42" borderId="48" xfId="61" applyNumberFormat="1" applyFont="1" applyFill="1" applyBorder="1" applyAlignment="1" applyProtection="1">
      <alignment horizontal="center" vertical="center"/>
      <protection/>
    </xf>
    <xf numFmtId="173" fontId="5" fillId="42" borderId="49" xfId="61" applyNumberFormat="1" applyFont="1" applyFill="1" applyBorder="1" applyAlignment="1" applyProtection="1">
      <alignment horizontal="center" vertical="center"/>
      <protection/>
    </xf>
    <xf numFmtId="170" fontId="5" fillId="42" borderId="48" xfId="71" applyNumberFormat="1" applyFont="1" applyFill="1" applyBorder="1" applyAlignment="1" applyProtection="1">
      <alignment horizontal="center" vertical="center"/>
      <protection/>
    </xf>
    <xf numFmtId="0" fontId="5" fillId="0" borderId="35" xfId="61" applyFont="1" applyBorder="1" applyProtection="1">
      <alignment/>
      <protection/>
    </xf>
    <xf numFmtId="0" fontId="0" fillId="0" borderId="38" xfId="61" applyFont="1" applyBorder="1" applyProtection="1">
      <alignment/>
      <protection/>
    </xf>
    <xf numFmtId="0" fontId="5" fillId="0" borderId="21" xfId="61" applyFont="1" applyBorder="1" applyAlignment="1" applyProtection="1">
      <alignment horizontal="center" vertical="center" wrapText="1"/>
      <protection/>
    </xf>
    <xf numFmtId="0" fontId="0" fillId="0" borderId="52" xfId="61" applyFont="1" applyBorder="1" applyProtection="1">
      <alignment/>
      <protection/>
    </xf>
    <xf numFmtId="0" fontId="5" fillId="0" borderId="20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0" fontId="5" fillId="0" borderId="26" xfId="61" applyFont="1" applyBorder="1" applyAlignment="1" applyProtection="1">
      <alignment horizontal="left" wrapText="1"/>
      <protection/>
    </xf>
    <xf numFmtId="173" fontId="5" fillId="42" borderId="40" xfId="61" applyNumberFormat="1" applyFont="1" applyFill="1" applyBorder="1" applyAlignment="1" applyProtection="1">
      <alignment horizontal="center" vertical="center"/>
      <protection/>
    </xf>
    <xf numFmtId="173" fontId="5" fillId="42" borderId="21" xfId="61" applyNumberFormat="1" applyFont="1" applyFill="1" applyBorder="1" applyAlignment="1" applyProtection="1">
      <alignment horizontal="center" vertical="center"/>
      <protection/>
    </xf>
    <xf numFmtId="173" fontId="5" fillId="42" borderId="45" xfId="61" applyNumberFormat="1" applyFont="1" applyFill="1" applyBorder="1" applyAlignment="1" applyProtection="1">
      <alignment horizontal="center" vertical="center"/>
      <protection/>
    </xf>
    <xf numFmtId="173" fontId="5" fillId="42" borderId="11" xfId="61" applyNumberFormat="1" applyFont="1" applyFill="1" applyBorder="1" applyAlignment="1" applyProtection="1">
      <alignment horizontal="center" vertical="center"/>
      <protection/>
    </xf>
    <xf numFmtId="170" fontId="5" fillId="42" borderId="45" xfId="61" applyNumberFormat="1" applyFont="1" applyFill="1" applyBorder="1" applyAlignment="1" applyProtection="1">
      <alignment horizontal="center" vertical="center"/>
      <protection/>
    </xf>
    <xf numFmtId="173" fontId="0" fillId="0" borderId="26" xfId="61" applyNumberFormat="1" applyFont="1" applyFill="1" applyBorder="1" applyAlignment="1" applyProtection="1">
      <alignment horizontal="center" vertical="center"/>
      <protection/>
    </xf>
    <xf numFmtId="173" fontId="0" fillId="0" borderId="0" xfId="61" applyNumberFormat="1" applyFont="1" applyFill="1" applyBorder="1" applyAlignment="1" applyProtection="1">
      <alignment horizontal="center" vertical="center"/>
      <protection/>
    </xf>
    <xf numFmtId="173" fontId="0" fillId="0" borderId="31" xfId="61" applyNumberFormat="1" applyFont="1" applyFill="1" applyBorder="1" applyAlignment="1" applyProtection="1">
      <alignment horizontal="center" vertical="center"/>
      <protection/>
    </xf>
    <xf numFmtId="173" fontId="0" fillId="0" borderId="0" xfId="61" applyNumberFormat="1" applyFont="1" applyBorder="1" applyAlignment="1" applyProtection="1">
      <alignment horizontal="center" vertical="center"/>
      <protection/>
    </xf>
    <xf numFmtId="173" fontId="0" fillId="0" borderId="31" xfId="61" applyNumberFormat="1" applyFont="1" applyBorder="1" applyAlignment="1" applyProtection="1">
      <alignment horizontal="center" vertical="center"/>
      <protection/>
    </xf>
    <xf numFmtId="170" fontId="0" fillId="0" borderId="31" xfId="71" applyNumberFormat="1" applyFont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left" wrapText="1"/>
      <protection/>
    </xf>
    <xf numFmtId="0" fontId="0" fillId="0" borderId="35" xfId="61" applyFont="1" applyBorder="1" applyProtection="1">
      <alignment/>
      <protection/>
    </xf>
    <xf numFmtId="0" fontId="5" fillId="0" borderId="83" xfId="61" applyFont="1" applyBorder="1" applyAlignment="1" applyProtection="1">
      <alignment horizontal="centerContinuous" vertical="center"/>
      <protection/>
    </xf>
    <xf numFmtId="0" fontId="0" fillId="0" borderId="76" xfId="61" applyFont="1" applyBorder="1" applyAlignment="1" applyProtection="1">
      <alignment horizontal="centerContinuous"/>
      <protection/>
    </xf>
    <xf numFmtId="0" fontId="0" fillId="0" borderId="91" xfId="61" applyFont="1" applyBorder="1" applyAlignment="1" applyProtection="1">
      <alignment horizontal="centerContinuous"/>
      <protection/>
    </xf>
    <xf numFmtId="0" fontId="5" fillId="0" borderId="22" xfId="61" applyFont="1" applyBorder="1" applyAlignment="1" applyProtection="1">
      <alignment horizontal="centerContinuous"/>
      <protection/>
    </xf>
    <xf numFmtId="0" fontId="0" fillId="0" borderId="23" xfId="61" applyFont="1" applyBorder="1" applyAlignment="1" applyProtection="1">
      <alignment horizontal="centerContinuous"/>
      <protection/>
    </xf>
    <xf numFmtId="0" fontId="0" fillId="0" borderId="28" xfId="61" applyFont="1" applyBorder="1" applyAlignment="1" applyProtection="1">
      <alignment horizontal="centerContinuous"/>
      <protection/>
    </xf>
    <xf numFmtId="0" fontId="5" fillId="0" borderId="11" xfId="61" applyFont="1" applyBorder="1" applyAlignment="1" applyProtection="1">
      <alignment horizontal="center" vertical="center"/>
      <protection/>
    </xf>
    <xf numFmtId="0" fontId="5" fillId="0" borderId="11" xfId="61" applyNumberFormat="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/>
      <protection/>
    </xf>
    <xf numFmtId="0" fontId="5" fillId="0" borderId="40" xfId="61" applyFont="1" applyBorder="1" applyAlignment="1" applyProtection="1">
      <alignment horizontal="center" vertical="center"/>
      <protection/>
    </xf>
    <xf numFmtId="0" fontId="5" fillId="0" borderId="45" xfId="61" applyFont="1" applyBorder="1" applyAlignment="1" applyProtection="1">
      <alignment horizontal="center" vertical="center"/>
      <protection/>
    </xf>
    <xf numFmtId="0" fontId="0" fillId="0" borderId="0" xfId="61" applyFont="1" applyProtection="1">
      <alignment/>
      <protection locked="0"/>
    </xf>
    <xf numFmtId="0" fontId="0" fillId="0" borderId="50" xfId="61" applyFont="1" applyBorder="1" applyProtection="1">
      <alignment/>
      <protection locked="0"/>
    </xf>
    <xf numFmtId="173" fontId="0" fillId="42" borderId="45" xfId="61" applyNumberFormat="1" applyFont="1" applyFill="1" applyBorder="1" applyAlignment="1" applyProtection="1">
      <alignment horizontal="center" vertical="center"/>
      <protection locked="0"/>
    </xf>
    <xf numFmtId="0" fontId="0" fillId="0" borderId="38" xfId="61" applyFont="1" applyBorder="1" applyProtection="1">
      <alignment/>
      <protection locked="0"/>
    </xf>
    <xf numFmtId="173" fontId="0" fillId="42" borderId="51" xfId="61" applyNumberFormat="1" applyFont="1" applyFill="1" applyBorder="1" applyAlignment="1" applyProtection="1">
      <alignment horizontal="center" vertical="center"/>
      <protection locked="0"/>
    </xf>
    <xf numFmtId="0" fontId="0" fillId="0" borderId="26" xfId="61" applyFont="1" applyBorder="1" applyProtection="1">
      <alignment/>
      <protection locked="0"/>
    </xf>
    <xf numFmtId="0" fontId="24" fillId="41" borderId="24" xfId="61" applyFont="1" applyFill="1" applyBorder="1" applyAlignment="1" applyProtection="1">
      <alignment horizontal="center" vertical="center"/>
      <protection locked="0"/>
    </xf>
    <xf numFmtId="172" fontId="24" fillId="41" borderId="90" xfId="61" applyNumberFormat="1" applyFont="1" applyFill="1" applyBorder="1" applyAlignment="1" applyProtection="1">
      <alignment horizontal="center" vertical="center"/>
      <protection locked="0"/>
    </xf>
    <xf numFmtId="173" fontId="0" fillId="42" borderId="14" xfId="61" applyNumberFormat="1" applyFont="1" applyFill="1" applyBorder="1" applyAlignment="1" applyProtection="1">
      <alignment horizontal="center" vertical="center"/>
      <protection locked="0"/>
    </xf>
    <xf numFmtId="172" fontId="24" fillId="41" borderId="79" xfId="61" applyNumberFormat="1" applyFont="1" applyFill="1" applyBorder="1" applyAlignment="1" applyProtection="1">
      <alignment horizontal="center" vertical="center"/>
      <protection locked="0"/>
    </xf>
    <xf numFmtId="172" fontId="24" fillId="41" borderId="24" xfId="61" applyNumberFormat="1" applyFont="1" applyFill="1" applyBorder="1" applyAlignment="1" applyProtection="1">
      <alignment horizontal="center" vertical="center"/>
      <protection locked="0"/>
    </xf>
    <xf numFmtId="0" fontId="0" fillId="42" borderId="60" xfId="61" applyFont="1" applyFill="1" applyBorder="1" applyProtection="1">
      <alignment/>
      <protection locked="0"/>
    </xf>
    <xf numFmtId="0" fontId="0" fillId="42" borderId="78" xfId="61" applyFont="1" applyFill="1" applyBorder="1" applyAlignment="1" applyProtection="1">
      <alignment horizontal="center" vertical="center"/>
      <protection locked="0"/>
    </xf>
    <xf numFmtId="0" fontId="0" fillId="43" borderId="49" xfId="61" applyFont="1" applyFill="1" applyBorder="1" applyAlignment="1" applyProtection="1">
      <alignment horizontal="center" vertical="center"/>
      <protection locked="0"/>
    </xf>
    <xf numFmtId="1" fontId="0" fillId="42" borderId="61" xfId="61" applyNumberFormat="1" applyFont="1" applyFill="1" applyBorder="1" applyAlignment="1" applyProtection="1">
      <alignment horizontal="center" vertical="center"/>
      <protection locked="0"/>
    </xf>
    <xf numFmtId="173" fontId="0" fillId="42" borderId="60" xfId="61" applyNumberFormat="1" applyFont="1" applyFill="1" applyBorder="1" applyAlignment="1" applyProtection="1">
      <alignment horizontal="center" vertical="center"/>
      <protection locked="0"/>
    </xf>
    <xf numFmtId="173" fontId="0" fillId="42" borderId="49" xfId="61" applyNumberFormat="1" applyFont="1" applyFill="1" applyBorder="1" applyAlignment="1" applyProtection="1">
      <alignment horizontal="center" vertical="center"/>
      <protection locked="0"/>
    </xf>
    <xf numFmtId="2" fontId="0" fillId="42" borderId="49" xfId="61" applyNumberFormat="1" applyFont="1" applyFill="1" applyBorder="1" applyAlignment="1" applyProtection="1">
      <alignment horizontal="center" vertical="center"/>
      <protection locked="0"/>
    </xf>
    <xf numFmtId="2" fontId="0" fillId="42" borderId="61" xfId="61" applyNumberFormat="1" applyFont="1" applyFill="1" applyBorder="1" applyAlignment="1" applyProtection="1">
      <alignment horizontal="center" vertical="center"/>
      <protection locked="0"/>
    </xf>
    <xf numFmtId="2" fontId="0" fillId="42" borderId="60" xfId="61" applyNumberFormat="1" applyFont="1" applyFill="1" applyBorder="1" applyAlignment="1" applyProtection="1">
      <alignment horizontal="center" vertical="center"/>
      <protection locked="0"/>
    </xf>
    <xf numFmtId="2" fontId="0" fillId="42" borderId="61" xfId="61" applyNumberFormat="1" applyFont="1" applyFill="1" applyBorder="1" applyAlignment="1" applyProtection="1">
      <alignment horizontal="center"/>
      <protection locked="0"/>
    </xf>
    <xf numFmtId="0" fontId="0" fillId="43" borderId="60" xfId="61" applyFont="1" applyFill="1" applyBorder="1" applyProtection="1">
      <alignment/>
      <protection locked="0"/>
    </xf>
    <xf numFmtId="0" fontId="0" fillId="43" borderId="78" xfId="61" applyFont="1" applyFill="1" applyBorder="1" applyProtection="1">
      <alignment/>
      <protection locked="0"/>
    </xf>
    <xf numFmtId="0" fontId="0" fillId="43" borderId="61" xfId="61" applyFont="1" applyFill="1" applyBorder="1" applyProtection="1">
      <alignment/>
      <protection locked="0"/>
    </xf>
    <xf numFmtId="0" fontId="0" fillId="0" borderId="0" xfId="61" applyFont="1" applyAlignment="1" applyProtection="1">
      <alignment horizontal="center"/>
      <protection/>
    </xf>
    <xf numFmtId="0" fontId="0" fillId="0" borderId="86" xfId="61" applyFont="1" applyBorder="1" applyAlignment="1" applyProtection="1">
      <alignment horizontal="center"/>
      <protection/>
    </xf>
    <xf numFmtId="0" fontId="5" fillId="0" borderId="53" xfId="61" applyFont="1" applyBorder="1" applyAlignment="1" applyProtection="1">
      <alignment horizontal="center" vertical="center"/>
      <protection/>
    </xf>
    <xf numFmtId="0" fontId="5" fillId="0" borderId="52" xfId="61" applyFont="1" applyBorder="1" applyAlignment="1" applyProtection="1">
      <alignment horizontal="center" vertical="center" wrapText="1"/>
      <protection/>
    </xf>
    <xf numFmtId="0" fontId="5" fillId="0" borderId="13" xfId="61" applyFont="1" applyBorder="1" applyAlignment="1" applyProtection="1">
      <alignment horizontal="center" vertical="center" wrapText="1"/>
      <protection/>
    </xf>
    <xf numFmtId="0" fontId="5" fillId="0" borderId="53" xfId="61" applyFont="1" applyBorder="1" applyAlignment="1" applyProtection="1">
      <alignment horizontal="center" vertical="center" wrapText="1"/>
      <protection/>
    </xf>
    <xf numFmtId="0" fontId="5" fillId="0" borderId="20" xfId="61" applyFont="1" applyBorder="1" applyAlignment="1" applyProtection="1">
      <alignment horizontal="center" vertical="center" wrapText="1"/>
      <protection/>
    </xf>
    <xf numFmtId="0" fontId="0" fillId="0" borderId="26" xfId="61" applyFont="1" applyBorder="1" applyProtection="1">
      <alignment/>
      <protection/>
    </xf>
    <xf numFmtId="0" fontId="0" fillId="0" borderId="68" xfId="61" applyNumberFormat="1" applyFont="1" applyBorder="1" applyAlignment="1" applyProtection="1">
      <alignment horizontal="center" wrapText="1"/>
      <protection/>
    </xf>
    <xf numFmtId="173" fontId="0" fillId="0" borderId="52" xfId="61" applyNumberFormat="1" applyFont="1" applyFill="1" applyBorder="1" applyAlignment="1" applyProtection="1">
      <alignment horizontal="center" vertical="center"/>
      <protection/>
    </xf>
    <xf numFmtId="173" fontId="0" fillId="0" borderId="20" xfId="61" applyNumberFormat="1" applyFont="1" applyFill="1" applyBorder="1" applyAlignment="1" applyProtection="1">
      <alignment horizontal="center" vertical="center"/>
      <protection/>
    </xf>
    <xf numFmtId="173" fontId="0" fillId="0" borderId="53" xfId="61" applyNumberFormat="1" applyFont="1" applyFill="1" applyBorder="1" applyAlignment="1" applyProtection="1">
      <alignment horizontal="center" vertical="center"/>
      <protection/>
    </xf>
    <xf numFmtId="173" fontId="0" fillId="0" borderId="13" xfId="61" applyNumberFormat="1" applyFont="1" applyFill="1" applyBorder="1" applyAlignment="1" applyProtection="1">
      <alignment horizontal="center" vertical="center"/>
      <protection/>
    </xf>
    <xf numFmtId="173" fontId="0" fillId="0" borderId="40" xfId="61" applyNumberFormat="1" applyFont="1" applyFill="1" applyBorder="1" applyAlignment="1" applyProtection="1">
      <alignment horizontal="center" vertical="center"/>
      <protection/>
    </xf>
    <xf numFmtId="173" fontId="0" fillId="0" borderId="21" xfId="61" applyNumberFormat="1" applyFont="1" applyFill="1" applyBorder="1" applyAlignment="1" applyProtection="1">
      <alignment horizontal="center" vertical="center"/>
      <protection/>
    </xf>
    <xf numFmtId="173" fontId="0" fillId="0" borderId="45" xfId="61" applyNumberFormat="1" applyFont="1" applyFill="1" applyBorder="1" applyAlignment="1" applyProtection="1">
      <alignment horizontal="center" vertical="center"/>
      <protection/>
    </xf>
    <xf numFmtId="173" fontId="0" fillId="0" borderId="11" xfId="6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Protection="1">
      <alignment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0" fontId="0" fillId="0" borderId="0" xfId="61" applyFont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indent="1"/>
      <protection/>
    </xf>
    <xf numFmtId="0" fontId="0" fillId="0" borderId="68" xfId="61" applyFont="1" applyFill="1" applyBorder="1" applyAlignment="1" applyProtection="1">
      <alignment horizont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wrapText="1"/>
      <protection/>
    </xf>
    <xf numFmtId="173" fontId="0" fillId="41" borderId="40" xfId="61" applyNumberFormat="1" applyFont="1" applyFill="1" applyBorder="1" applyAlignment="1" applyProtection="1">
      <alignment horizontal="center" vertical="center"/>
      <protection locked="0"/>
    </xf>
    <xf numFmtId="0" fontId="0" fillId="0" borderId="38" xfId="61" applyFont="1" applyBorder="1" applyAlignment="1" applyProtection="1">
      <alignment horizontal="left" wrapText="1" indent="1"/>
      <protection/>
    </xf>
    <xf numFmtId="0" fontId="5" fillId="0" borderId="38" xfId="61" applyFont="1" applyBorder="1" applyAlignment="1" applyProtection="1">
      <alignment horizontal="left"/>
      <protection/>
    </xf>
    <xf numFmtId="0" fontId="0" fillId="0" borderId="68" xfId="61" applyNumberFormat="1" applyFont="1" applyBorder="1" applyAlignment="1" applyProtection="1">
      <alignment horizontal="center"/>
      <protection/>
    </xf>
    <xf numFmtId="0" fontId="0" fillId="0" borderId="90" xfId="61" applyFont="1" applyBorder="1" applyAlignment="1" applyProtection="1">
      <alignment horizontal="center" vertical="center"/>
      <protection/>
    </xf>
    <xf numFmtId="0" fontId="0" fillId="0" borderId="24" xfId="61" applyFont="1" applyBorder="1" applyAlignment="1" applyProtection="1">
      <alignment horizontal="center" vertical="center"/>
      <protection/>
    </xf>
    <xf numFmtId="0" fontId="0" fillId="0" borderId="79" xfId="6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center" vertical="center"/>
      <protection/>
    </xf>
    <xf numFmtId="0" fontId="0" fillId="0" borderId="58" xfId="61" applyFont="1" applyBorder="1" applyProtection="1">
      <alignment/>
      <protection/>
    </xf>
    <xf numFmtId="0" fontId="0" fillId="0" borderId="27" xfId="61" applyFont="1" applyBorder="1" applyProtection="1">
      <alignment/>
      <protection/>
    </xf>
    <xf numFmtId="0" fontId="0" fillId="0" borderId="59" xfId="61" applyFont="1" applyBorder="1" applyProtection="1">
      <alignment/>
      <protection/>
    </xf>
    <xf numFmtId="0" fontId="0" fillId="0" borderId="37" xfId="61" applyFont="1" applyBorder="1" applyAlignment="1" applyProtection="1">
      <alignment horizontal="center"/>
      <protection/>
    </xf>
    <xf numFmtId="0" fontId="5" fillId="0" borderId="19" xfId="61" applyFont="1" applyBorder="1" applyAlignment="1" applyProtection="1">
      <alignment horizontal="center" vertical="center"/>
      <protection/>
    </xf>
    <xf numFmtId="0" fontId="5" fillId="0" borderId="38" xfId="61" applyFont="1" applyBorder="1" applyProtection="1">
      <alignment/>
      <protection/>
    </xf>
    <xf numFmtId="0" fontId="5" fillId="0" borderId="17" xfId="61" applyFont="1" applyBorder="1" applyAlignment="1" applyProtection="1">
      <alignment horizontal="center"/>
      <protection/>
    </xf>
    <xf numFmtId="0" fontId="5" fillId="0" borderId="90" xfId="61" applyFont="1" applyBorder="1" applyAlignment="1" applyProtection="1">
      <alignment horizontal="center" vertical="center"/>
      <protection/>
    </xf>
    <xf numFmtId="0" fontId="5" fillId="0" borderId="24" xfId="61" applyFont="1" applyBorder="1" applyAlignment="1" applyProtection="1">
      <alignment horizontal="center" vertical="center"/>
      <protection/>
    </xf>
    <xf numFmtId="0" fontId="5" fillId="0" borderId="79" xfId="61" applyFont="1" applyBorder="1" applyAlignment="1" applyProtection="1">
      <alignment horizontal="center" vertical="center"/>
      <protection/>
    </xf>
    <xf numFmtId="0" fontId="0" fillId="0" borderId="17" xfId="61" applyNumberFormat="1" applyFont="1" applyBorder="1" applyAlignment="1" applyProtection="1">
      <alignment horizontal="center" wrapText="1"/>
      <protection/>
    </xf>
    <xf numFmtId="0" fontId="5" fillId="0" borderId="26" xfId="61" applyFont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5" fillId="0" borderId="31" xfId="61" applyFont="1" applyBorder="1" applyAlignment="1" applyProtection="1">
      <alignment horizontal="center" vertical="center"/>
      <protection/>
    </xf>
    <xf numFmtId="0" fontId="0" fillId="0" borderId="38" xfId="61" applyFont="1" applyBorder="1" applyAlignment="1" applyProtection="1">
      <alignment horizontal="left" indent="2"/>
      <protection/>
    </xf>
    <xf numFmtId="1" fontId="5" fillId="0" borderId="26" xfId="61" applyNumberFormat="1" applyFont="1" applyBorder="1" applyAlignment="1" applyProtection="1">
      <alignment horizontal="center" vertical="center"/>
      <protection/>
    </xf>
    <xf numFmtId="1" fontId="5" fillId="0" borderId="0" xfId="61" applyNumberFormat="1" applyFont="1" applyBorder="1" applyAlignment="1" applyProtection="1">
      <alignment horizontal="center" vertical="center"/>
      <protection/>
    </xf>
    <xf numFmtId="1" fontId="5" fillId="0" borderId="31" xfId="61" applyNumberFormat="1" applyFont="1" applyBorder="1" applyAlignment="1" applyProtection="1">
      <alignment horizontal="center" vertical="center"/>
      <protection/>
    </xf>
    <xf numFmtId="1" fontId="0" fillId="0" borderId="0" xfId="61" applyNumberFormat="1" applyFont="1" applyBorder="1" applyAlignment="1" applyProtection="1">
      <alignment horizontal="center" vertical="center"/>
      <protection/>
    </xf>
    <xf numFmtId="1" fontId="0" fillId="0" borderId="31" xfId="61" applyNumberFormat="1" applyFont="1" applyBorder="1" applyAlignment="1" applyProtection="1">
      <alignment horizontal="center" vertical="center"/>
      <protection/>
    </xf>
    <xf numFmtId="0" fontId="5" fillId="0" borderId="38" xfId="61" applyFont="1" applyBorder="1" applyAlignment="1" applyProtection="1">
      <alignment horizontal="left" wrapText="1" indent="1"/>
      <protection/>
    </xf>
    <xf numFmtId="1" fontId="5" fillId="42" borderId="40" xfId="61" applyNumberFormat="1" applyFont="1" applyFill="1" applyBorder="1" applyAlignment="1" applyProtection="1">
      <alignment horizontal="center" vertical="center"/>
      <protection/>
    </xf>
    <xf numFmtId="1" fontId="5" fillId="42" borderId="11" xfId="61" applyNumberFormat="1" applyFont="1" applyFill="1" applyBorder="1" applyAlignment="1" applyProtection="1">
      <alignment horizontal="center" vertical="center"/>
      <protection/>
    </xf>
    <xf numFmtId="1" fontId="5" fillId="42" borderId="45" xfId="61" applyNumberFormat="1" applyFont="1" applyFill="1" applyBorder="1" applyAlignment="1" applyProtection="1">
      <alignment horizontal="center" vertical="center"/>
      <protection/>
    </xf>
    <xf numFmtId="1" fontId="5" fillId="42" borderId="21" xfId="61" applyNumberFormat="1" applyFont="1" applyFill="1" applyBorder="1" applyAlignment="1" applyProtection="1">
      <alignment horizontal="center" vertical="center"/>
      <protection/>
    </xf>
    <xf numFmtId="0" fontId="5" fillId="0" borderId="42" xfId="61" applyFont="1" applyBorder="1" applyAlignment="1" applyProtection="1">
      <alignment horizontal="left" wrapText="1" indent="1"/>
      <protection/>
    </xf>
    <xf numFmtId="0" fontId="0" fillId="0" borderId="44" xfId="61" applyNumberFormat="1" applyFont="1" applyBorder="1" applyAlignment="1" applyProtection="1">
      <alignment horizontal="center" wrapText="1"/>
      <protection/>
    </xf>
    <xf numFmtId="1" fontId="5" fillId="42" borderId="46" xfId="61" applyNumberFormat="1" applyFont="1" applyFill="1" applyBorder="1" applyAlignment="1" applyProtection="1">
      <alignment horizontal="center" vertical="center"/>
      <protection/>
    </xf>
    <xf numFmtId="1" fontId="5" fillId="42" borderId="49" xfId="61" applyNumberFormat="1" applyFont="1" applyFill="1" applyBorder="1" applyAlignment="1" applyProtection="1">
      <alignment horizontal="center" vertical="center"/>
      <protection/>
    </xf>
    <xf numFmtId="1" fontId="5" fillId="42" borderId="48" xfId="61" applyNumberFormat="1" applyFont="1" applyFill="1" applyBorder="1" applyAlignment="1" applyProtection="1">
      <alignment horizontal="center" vertical="center"/>
      <protection/>
    </xf>
    <xf numFmtId="1" fontId="5" fillId="42" borderId="47" xfId="61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left" wrapText="1" indent="1"/>
      <protection/>
    </xf>
    <xf numFmtId="0" fontId="5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ont="1" applyFill="1" applyAlignment="1" applyProtection="1">
      <alignment horizontal="center" vertical="center"/>
      <protection/>
    </xf>
    <xf numFmtId="0" fontId="0" fillId="0" borderId="22" xfId="61" applyFont="1" applyBorder="1" applyProtection="1">
      <alignment/>
      <protection/>
    </xf>
    <xf numFmtId="0" fontId="5" fillId="0" borderId="58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center"/>
      <protection/>
    </xf>
    <xf numFmtId="0" fontId="0" fillId="0" borderId="17" xfId="61" applyFont="1" applyFill="1" applyBorder="1" applyAlignment="1" applyProtection="1">
      <alignment horizontal="center"/>
      <protection/>
    </xf>
    <xf numFmtId="0" fontId="5" fillId="0" borderId="26" xfId="61" applyFont="1" applyBorder="1" applyAlignment="1" applyProtection="1">
      <alignment horizontal="left" wrapText="1" indent="2"/>
      <protection/>
    </xf>
    <xf numFmtId="173" fontId="0" fillId="42" borderId="21" xfId="61" applyNumberFormat="1" applyFont="1" applyFill="1" applyBorder="1" applyAlignment="1" applyProtection="1">
      <alignment horizontal="center" vertical="center"/>
      <protection/>
    </xf>
    <xf numFmtId="0" fontId="0" fillId="0" borderId="17" xfId="61" applyNumberFormat="1" applyFont="1" applyBorder="1" applyAlignment="1" applyProtection="1">
      <alignment horizontal="center"/>
      <protection/>
    </xf>
    <xf numFmtId="0" fontId="0" fillId="0" borderId="80" xfId="61" applyFont="1" applyBorder="1" applyAlignment="1" applyProtection="1">
      <alignment horizontal="center" vertical="center"/>
      <protection/>
    </xf>
    <xf numFmtId="0" fontId="0" fillId="0" borderId="25" xfId="61" applyFont="1" applyBorder="1" applyAlignment="1" applyProtection="1">
      <alignment horizontal="center" vertical="center"/>
      <protection/>
    </xf>
    <xf numFmtId="0" fontId="0" fillId="0" borderId="54" xfId="61" applyFont="1" applyBorder="1" applyAlignment="1" applyProtection="1">
      <alignment horizontal="center" vertical="center"/>
      <protection/>
    </xf>
    <xf numFmtId="0" fontId="0" fillId="0" borderId="80" xfId="61" applyFont="1" applyFill="1" applyBorder="1" applyAlignment="1" applyProtection="1">
      <alignment horizontal="center" vertical="center"/>
      <protection/>
    </xf>
    <xf numFmtId="0" fontId="5" fillId="0" borderId="26" xfId="61" applyFont="1" applyBorder="1" applyAlignment="1" applyProtection="1">
      <alignment horizontal="left" wrapText="1" indent="1"/>
      <protection/>
    </xf>
    <xf numFmtId="170" fontId="5" fillId="42" borderId="45" xfId="71" applyNumberFormat="1" applyFont="1" applyFill="1" applyBorder="1" applyAlignment="1" applyProtection="1">
      <alignment horizontal="center" vertical="center"/>
      <protection/>
    </xf>
    <xf numFmtId="0" fontId="5" fillId="0" borderId="29" xfId="61" applyFont="1" applyBorder="1" applyAlignment="1" applyProtection="1">
      <alignment horizontal="left" wrapText="1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8" xfId="61" applyFont="1" applyBorder="1" applyAlignment="1" applyProtection="1">
      <alignment horizontal="center"/>
      <protection/>
    </xf>
    <xf numFmtId="173" fontId="0" fillId="42" borderId="52" xfId="61" applyNumberFormat="1" applyFont="1" applyFill="1" applyBorder="1" applyAlignment="1" applyProtection="1">
      <alignment horizontal="center" vertical="center"/>
      <protection/>
    </xf>
    <xf numFmtId="173" fontId="0" fillId="42" borderId="13" xfId="61" applyNumberFormat="1" applyFont="1" applyFill="1" applyBorder="1" applyAlignment="1" applyProtection="1">
      <alignment horizontal="center" vertical="center"/>
      <protection/>
    </xf>
    <xf numFmtId="173" fontId="0" fillId="42" borderId="53" xfId="61" applyNumberFormat="1" applyFont="1" applyFill="1" applyBorder="1" applyAlignment="1" applyProtection="1">
      <alignment horizontal="center" vertical="center"/>
      <protection/>
    </xf>
    <xf numFmtId="170" fontId="0" fillId="42" borderId="53" xfId="7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9" xfId="61" applyFont="1" applyBorder="1" applyAlignment="1" applyProtection="1">
      <alignment horizontal="center"/>
      <protection/>
    </xf>
    <xf numFmtId="173" fontId="0" fillId="0" borderId="46" xfId="61" applyNumberFormat="1" applyFont="1" applyFill="1" applyBorder="1" applyAlignment="1" applyProtection="1">
      <alignment horizontal="center" vertical="center"/>
      <protection/>
    </xf>
    <xf numFmtId="173" fontId="0" fillId="0" borderId="47" xfId="61" applyNumberFormat="1" applyFont="1" applyFill="1" applyBorder="1" applyAlignment="1" applyProtection="1">
      <alignment horizontal="center" vertical="center"/>
      <protection/>
    </xf>
    <xf numFmtId="173" fontId="0" fillId="0" borderId="48" xfId="61" applyNumberFormat="1" applyFont="1" applyFill="1" applyBorder="1" applyAlignment="1" applyProtection="1">
      <alignment horizontal="center" vertical="center"/>
      <protection/>
    </xf>
    <xf numFmtId="173" fontId="0" fillId="0" borderId="49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5" fillId="0" borderId="41" xfId="61" applyFont="1" applyBorder="1" applyAlignment="1" applyProtection="1">
      <alignment horizontal="center" vertical="center" wrapText="1"/>
      <protection/>
    </xf>
    <xf numFmtId="0" fontId="5" fillId="0" borderId="47" xfId="61" applyFont="1" applyBorder="1" applyAlignment="1" applyProtection="1">
      <alignment horizontal="center" vertical="center" wrapText="1"/>
      <protection/>
    </xf>
    <xf numFmtId="0" fontId="5" fillId="0" borderId="49" xfId="61" applyFont="1" applyBorder="1" applyAlignment="1" applyProtection="1">
      <alignment horizontal="center" vertical="center" wrapText="1"/>
      <protection/>
    </xf>
    <xf numFmtId="0" fontId="5" fillId="0" borderId="46" xfId="61" applyFont="1" applyBorder="1" applyAlignment="1" applyProtection="1">
      <alignment horizontal="center" vertical="center" wrapText="1"/>
      <protection/>
    </xf>
    <xf numFmtId="0" fontId="5" fillId="0" borderId="74" xfId="61" applyFont="1" applyBorder="1" applyAlignment="1" applyProtection="1">
      <alignment horizontal="center" vertical="center" wrapText="1"/>
      <protection/>
    </xf>
    <xf numFmtId="0" fontId="5" fillId="0" borderId="39" xfId="61" applyFont="1" applyBorder="1" applyAlignment="1" applyProtection="1">
      <alignment horizontal="center" vertical="center" wrapText="1"/>
      <protection/>
    </xf>
    <xf numFmtId="0" fontId="5" fillId="0" borderId="48" xfId="61" applyFont="1" applyBorder="1" applyAlignment="1" applyProtection="1">
      <alignment horizontal="center" vertical="center" wrapText="1"/>
      <protection/>
    </xf>
    <xf numFmtId="0" fontId="5" fillId="0" borderId="54" xfId="61" applyFont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 horizontal="right"/>
    </xf>
    <xf numFmtId="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72" fontId="9" fillId="35" borderId="0" xfId="42" applyNumberFormat="1" applyFont="1" applyFill="1" applyAlignment="1">
      <alignment/>
    </xf>
    <xf numFmtId="172" fontId="9" fillId="0" borderId="27" xfId="42" applyNumberFormat="1" applyFont="1" applyBorder="1" applyAlignment="1">
      <alignment/>
    </xf>
    <xf numFmtId="172" fontId="9" fillId="36" borderId="0" xfId="42" applyNumberFormat="1" applyFont="1" applyFill="1" applyBorder="1" applyAlignment="1">
      <alignment/>
    </xf>
    <xf numFmtId="172" fontId="9" fillId="0" borderId="0" xfId="42" applyNumberFormat="1" applyFont="1" applyAlignment="1">
      <alignment/>
    </xf>
    <xf numFmtId="172" fontId="9" fillId="36" borderId="25" xfId="42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72" fontId="9" fillId="47" borderId="0" xfId="42" applyNumberFormat="1" applyFont="1" applyFill="1" applyAlignment="1">
      <alignment/>
    </xf>
    <xf numFmtId="172" fontId="9" fillId="36" borderId="25" xfId="0" applyNumberFormat="1" applyFont="1" applyFill="1" applyBorder="1" applyAlignment="1">
      <alignment/>
    </xf>
    <xf numFmtId="172" fontId="9" fillId="35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0" fillId="0" borderId="21" xfId="0" applyFont="1" applyBorder="1" applyAlignment="1">
      <alignment/>
    </xf>
    <xf numFmtId="9" fontId="0" fillId="37" borderId="10" xfId="71" applyFont="1" applyFill="1" applyBorder="1" applyAlignment="1">
      <alignment/>
    </xf>
    <xf numFmtId="9" fontId="0" fillId="37" borderId="12" xfId="71" applyFont="1" applyFill="1" applyBorder="1" applyAlignment="1">
      <alignment/>
    </xf>
    <xf numFmtId="0" fontId="0" fillId="0" borderId="11" xfId="0" applyFont="1" applyFill="1" applyBorder="1" applyAlignment="1">
      <alignment/>
    </xf>
    <xf numFmtId="9" fontId="0" fillId="37" borderId="13" xfId="7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11" xfId="0" applyFont="1" applyFill="1" applyBorder="1" applyAlignment="1">
      <alignment vertical="center" wrapText="1"/>
    </xf>
    <xf numFmtId="187" fontId="0" fillId="0" borderId="12" xfId="0" applyNumberFormat="1" applyFont="1" applyBorder="1" applyAlignment="1">
      <alignment/>
    </xf>
    <xf numFmtId="187" fontId="0" fillId="0" borderId="18" xfId="0" applyNumberFormat="1" applyFont="1" applyBorder="1" applyAlignment="1">
      <alignment/>
    </xf>
    <xf numFmtId="188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187" fontId="0" fillId="37" borderId="12" xfId="0" applyNumberFormat="1" applyFont="1" applyFill="1" applyBorder="1" applyAlignment="1">
      <alignment/>
    </xf>
    <xf numFmtId="3" fontId="0" fillId="37" borderId="18" xfId="0" applyNumberFormat="1" applyFill="1" applyBorder="1" applyAlignment="1">
      <alignment/>
    </xf>
    <xf numFmtId="187" fontId="0" fillId="0" borderId="13" xfId="0" applyNumberFormat="1" applyFont="1" applyBorder="1" applyAlignment="1">
      <alignment/>
    </xf>
    <xf numFmtId="187" fontId="0" fillId="0" borderId="20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9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" fillId="35" borderId="16" xfId="0" applyFont="1" applyFill="1" applyBorder="1" applyAlignment="1">
      <alignment/>
    </xf>
    <xf numFmtId="9" fontId="0" fillId="0" borderId="12" xfId="71" applyFont="1" applyBorder="1" applyAlignment="1">
      <alignment vertical="top" wrapText="1"/>
    </xf>
    <xf numFmtId="9" fontId="0" fillId="0" borderId="13" xfId="7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7" fillId="0" borderId="0" xfId="0" applyFont="1" applyAlignment="1">
      <alignment/>
    </xf>
    <xf numFmtId="175" fontId="5" fillId="46" borderId="0" xfId="0" applyNumberFormat="1" applyFont="1" applyFill="1" applyAlignment="1">
      <alignment vertical="center" wrapText="1"/>
    </xf>
    <xf numFmtId="0" fontId="9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9" fontId="5" fillId="0" borderId="10" xfId="7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9" fontId="5" fillId="0" borderId="11" xfId="71" applyFont="1" applyBorder="1" applyAlignment="1">
      <alignment/>
    </xf>
    <xf numFmtId="9" fontId="5" fillId="37" borderId="11" xfId="71" applyFont="1" applyFill="1" applyBorder="1" applyAlignment="1">
      <alignment/>
    </xf>
    <xf numFmtId="9" fontId="5" fillId="37" borderId="15" xfId="71" applyFont="1" applyFill="1" applyBorder="1" applyAlignment="1">
      <alignment/>
    </xf>
    <xf numFmtId="9" fontId="5" fillId="0" borderId="0" xfId="7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73" fontId="44" fillId="0" borderId="0" xfId="0" applyNumberFormat="1" applyFont="1" applyFill="1" applyBorder="1" applyAlignment="1">
      <alignment/>
    </xf>
    <xf numFmtId="9" fontId="44" fillId="0" borderId="0" xfId="7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5" fillId="0" borderId="16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73" fontId="5" fillId="0" borderId="18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9" fontId="5" fillId="0" borderId="18" xfId="71" applyFont="1" applyFill="1" applyBorder="1" applyAlignment="1">
      <alignment/>
    </xf>
    <xf numFmtId="9" fontId="5" fillId="0" borderId="12" xfId="71" applyFont="1" applyFill="1" applyBorder="1" applyAlignment="1">
      <alignment/>
    </xf>
    <xf numFmtId="9" fontId="5" fillId="0" borderId="12" xfId="71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9" fontId="5" fillId="0" borderId="20" xfId="71" applyFont="1" applyFill="1" applyBorder="1" applyAlignment="1">
      <alignment/>
    </xf>
    <xf numFmtId="9" fontId="5" fillId="0" borderId="13" xfId="71" applyFont="1" applyFill="1" applyBorder="1" applyAlignment="1">
      <alignment/>
    </xf>
    <xf numFmtId="0" fontId="5" fillId="42" borderId="0" xfId="0" applyFont="1" applyFill="1" applyAlignment="1">
      <alignment/>
    </xf>
    <xf numFmtId="0" fontId="0" fillId="40" borderId="0" xfId="0" applyFont="1" applyFill="1" applyAlignment="1">
      <alignment/>
    </xf>
    <xf numFmtId="0" fontId="44" fillId="40" borderId="0" xfId="0" applyFont="1" applyFill="1" applyAlignment="1">
      <alignment/>
    </xf>
    <xf numFmtId="4" fontId="44" fillId="40" borderId="0" xfId="0" applyNumberFormat="1" applyFont="1" applyFill="1" applyAlignment="1">
      <alignment/>
    </xf>
    <xf numFmtId="173" fontId="44" fillId="40" borderId="0" xfId="0" applyNumberFormat="1" applyFont="1" applyFill="1" applyAlignment="1">
      <alignment/>
    </xf>
    <xf numFmtId="173" fontId="0" fillId="40" borderId="0" xfId="0" applyNumberFormat="1" applyFont="1" applyFill="1" applyAlignment="1">
      <alignment/>
    </xf>
    <xf numFmtId="10" fontId="44" fillId="40" borderId="0" xfId="0" applyNumberFormat="1" applyFont="1" applyFill="1" applyAlignment="1">
      <alignment/>
    </xf>
    <xf numFmtId="1" fontId="0" fillId="40" borderId="0" xfId="0" applyNumberFormat="1" applyFont="1" applyFill="1" applyAlignment="1">
      <alignment/>
    </xf>
    <xf numFmtId="10" fontId="0" fillId="40" borderId="0" xfId="0" applyNumberFormat="1" applyFont="1" applyFill="1" applyAlignment="1">
      <alignment/>
    </xf>
    <xf numFmtId="171" fontId="0" fillId="40" borderId="0" xfId="0" applyNumberFormat="1" applyFont="1" applyFill="1" applyAlignment="1">
      <alignment/>
    </xf>
    <xf numFmtId="172" fontId="0" fillId="4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0" fillId="41" borderId="14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44" fillId="0" borderId="0" xfId="0" applyFont="1" applyAlignment="1">
      <alignment/>
    </xf>
    <xf numFmtId="0" fontId="0" fillId="40" borderId="26" xfId="0" applyFont="1" applyFill="1" applyBorder="1" applyAlignment="1">
      <alignment/>
    </xf>
    <xf numFmtId="181" fontId="44" fillId="41" borderId="26" xfId="71" applyNumberFormat="1" applyFont="1" applyFill="1" applyBorder="1" applyAlignment="1">
      <alignment horizontal="center"/>
    </xf>
    <xf numFmtId="0" fontId="44" fillId="41" borderId="0" xfId="0" applyFont="1" applyFill="1" applyBorder="1" applyAlignment="1">
      <alignment/>
    </xf>
    <xf numFmtId="9" fontId="44" fillId="41" borderId="31" xfId="71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3" fontId="1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7" fillId="0" borderId="0" xfId="54" applyAlignment="1" applyProtection="1">
      <alignment/>
      <protection/>
    </xf>
    <xf numFmtId="0" fontId="0" fillId="0" borderId="12" xfId="0" applyFont="1" applyBorder="1" applyAlignment="1">
      <alignment horizontal="left" indent="1"/>
    </xf>
    <xf numFmtId="170" fontId="0" fillId="0" borderId="14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16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1"/>
    </xf>
    <xf numFmtId="170" fontId="0" fillId="0" borderId="19" xfId="0" applyNumberFormat="1" applyFon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170" fontId="5" fillId="0" borderId="24" xfId="0" applyNumberFormat="1" applyFont="1" applyBorder="1" applyAlignment="1">
      <alignment horizontal="center" vertical="center"/>
    </xf>
    <xf numFmtId="170" fontId="0" fillId="40" borderId="0" xfId="0" applyNumberFormat="1" applyFont="1" applyFill="1" applyAlignment="1" applyProtection="1">
      <alignment horizontal="center"/>
      <protection locked="0"/>
    </xf>
    <xf numFmtId="0" fontId="0" fillId="48" borderId="0" xfId="0" applyNumberFormat="1" applyFont="1" applyFill="1" applyAlignment="1" applyProtection="1">
      <alignment horizontal="center"/>
      <protection locked="0"/>
    </xf>
    <xf numFmtId="0" fontId="0" fillId="33" borderId="0" xfId="0" applyNumberFormat="1" applyFont="1" applyFill="1" applyAlignment="1" applyProtection="1">
      <alignment horizontal="center"/>
      <protection locked="0"/>
    </xf>
    <xf numFmtId="49" fontId="5" fillId="46" borderId="0" xfId="0" applyNumberFormat="1" applyFont="1" applyFill="1" applyAlignment="1">
      <alignment vertical="center" wrapText="1"/>
    </xf>
    <xf numFmtId="0" fontId="5" fillId="46" borderId="0" xfId="0" applyFont="1" applyFill="1" applyAlignment="1">
      <alignment horizontal="center" vertical="center" wrapText="1"/>
    </xf>
    <xf numFmtId="185" fontId="0" fillId="49" borderId="0" xfId="0" applyNumberFormat="1" applyFont="1" applyFill="1" applyAlignment="1" applyProtection="1">
      <alignment/>
      <protection locked="0"/>
    </xf>
    <xf numFmtId="186" fontId="0" fillId="35" borderId="0" xfId="0" applyNumberFormat="1" applyFont="1" applyFill="1" applyAlignment="1" applyProtection="1">
      <alignment horizontal="center"/>
      <protection locked="0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/>
    </xf>
    <xf numFmtId="0" fontId="0" fillId="41" borderId="23" xfId="0" applyFill="1" applyBorder="1" applyAlignment="1">
      <alignment horizontal="center"/>
    </xf>
    <xf numFmtId="0" fontId="0" fillId="41" borderId="28" xfId="0" applyFill="1" applyBorder="1" applyAlignment="1">
      <alignment/>
    </xf>
    <xf numFmtId="0" fontId="0" fillId="41" borderId="2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9" fontId="0" fillId="41" borderId="14" xfId="71" applyFont="1" applyFill="1" applyBorder="1" applyAlignment="1">
      <alignment horizontal="center"/>
    </xf>
    <xf numFmtId="9" fontId="0" fillId="41" borderId="24" xfId="7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27" xfId="0" applyFont="1" applyFill="1" applyBorder="1" applyAlignment="1">
      <alignment horizontal="center" vertical="top" wrapText="1"/>
    </xf>
    <xf numFmtId="0" fontId="19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3" fontId="14" fillId="0" borderId="14" xfId="68" applyNumberFormat="1" applyFont="1" applyBorder="1" applyAlignment="1" applyProtection="1">
      <alignment horizontal="center" vertical="center" wrapText="1"/>
      <protection/>
    </xf>
    <xf numFmtId="173" fontId="14" fillId="0" borderId="24" xfId="68" applyNumberFormat="1" applyFont="1" applyBorder="1" applyAlignment="1" applyProtection="1">
      <alignment horizontal="center" vertical="center" wrapText="1"/>
      <protection/>
    </xf>
    <xf numFmtId="173" fontId="14" fillId="0" borderId="16" xfId="68" applyNumberFormat="1" applyFont="1" applyBorder="1" applyAlignment="1" applyProtection="1">
      <alignment horizontal="center" vertical="center" wrapText="1"/>
      <protection/>
    </xf>
    <xf numFmtId="173" fontId="5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5" fillId="35" borderId="21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5" fillId="0" borderId="77" xfId="64" applyNumberFormat="1" applyFont="1" applyBorder="1" applyAlignment="1" applyProtection="1">
      <alignment horizontal="center"/>
      <protection/>
    </xf>
    <xf numFmtId="1" fontId="15" fillId="0" borderId="63" xfId="64" applyNumberFormat="1" applyFont="1" applyBorder="1" applyAlignment="1" applyProtection="1">
      <alignment horizontal="center"/>
      <protection/>
    </xf>
    <xf numFmtId="1" fontId="15" fillId="0" borderId="77" xfId="64" applyNumberFormat="1" applyFont="1" applyBorder="1" applyAlignment="1" applyProtection="1" quotePrefix="1">
      <alignment horizontal="center"/>
      <protection/>
    </xf>
    <xf numFmtId="1" fontId="15" fillId="0" borderId="26" xfId="64" applyNumberFormat="1" applyFont="1" applyBorder="1" applyAlignment="1" applyProtection="1">
      <alignment horizontal="center" vertical="center" wrapText="1"/>
      <protection/>
    </xf>
    <xf numFmtId="1" fontId="15" fillId="0" borderId="31" xfId="64" applyNumberFormat="1" applyFont="1" applyBorder="1" applyAlignment="1" applyProtection="1">
      <alignment horizontal="center" vertical="center" wrapText="1"/>
      <protection/>
    </xf>
    <xf numFmtId="1" fontId="15" fillId="0" borderId="0" xfId="64" applyNumberFormat="1" applyFont="1" applyBorder="1" applyAlignment="1" applyProtection="1">
      <alignment horizontal="center" vertical="center" wrapText="1"/>
      <protection/>
    </xf>
    <xf numFmtId="0" fontId="24" fillId="41" borderId="80" xfId="61" applyNumberFormat="1" applyFont="1" applyFill="1" applyBorder="1" applyAlignment="1" applyProtection="1">
      <alignment horizontal="left" vertical="center"/>
      <protection locked="0"/>
    </xf>
    <xf numFmtId="0" fontId="24" fillId="41" borderId="25" xfId="61" applyNumberFormat="1" applyFont="1" applyFill="1" applyBorder="1" applyAlignment="1" applyProtection="1">
      <alignment horizontal="left" vertical="center"/>
      <protection locked="0"/>
    </xf>
    <xf numFmtId="0" fontId="24" fillId="41" borderId="54" xfId="61" applyNumberFormat="1" applyFont="1" applyFill="1" applyBorder="1" applyAlignment="1" applyProtection="1">
      <alignment horizontal="left" vertical="center"/>
      <protection locked="0"/>
    </xf>
    <xf numFmtId="0" fontId="11" fillId="0" borderId="80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54" xfId="61" applyFont="1" applyBorder="1" applyAlignment="1" applyProtection="1">
      <alignment horizontal="center" vertical="center" wrapText="1"/>
      <protection/>
    </xf>
    <xf numFmtId="0" fontId="5" fillId="0" borderId="80" xfId="61" applyFont="1" applyFill="1" applyBorder="1" applyAlignment="1" applyProtection="1">
      <alignment horizontal="center" vertical="center"/>
      <protection/>
    </xf>
    <xf numFmtId="0" fontId="5" fillId="0" borderId="25" xfId="61" applyFont="1" applyFill="1" applyBorder="1" applyAlignment="1" applyProtection="1">
      <alignment horizontal="center" vertical="center"/>
      <protection/>
    </xf>
    <xf numFmtId="0" fontId="5" fillId="0" borderId="54" xfId="61" applyFont="1" applyFill="1" applyBorder="1" applyAlignment="1" applyProtection="1">
      <alignment horizontal="center" vertical="center"/>
      <protection/>
    </xf>
    <xf numFmtId="0" fontId="24" fillId="41" borderId="90" xfId="61" applyNumberFormat="1" applyFont="1" applyFill="1" applyBorder="1" applyAlignment="1" applyProtection="1">
      <alignment horizontal="left" vertical="center"/>
      <protection locked="0"/>
    </xf>
    <xf numFmtId="0" fontId="24" fillId="41" borderId="24" xfId="61" applyNumberFormat="1" applyFont="1" applyFill="1" applyBorder="1" applyAlignment="1" applyProtection="1">
      <alignment horizontal="left" vertical="center"/>
      <protection locked="0"/>
    </xf>
    <xf numFmtId="0" fontId="24" fillId="41" borderId="79" xfId="61" applyNumberFormat="1" applyFont="1" applyFill="1" applyBorder="1" applyAlignment="1" applyProtection="1">
      <alignment horizontal="left" vertical="center"/>
      <protection locked="0"/>
    </xf>
    <xf numFmtId="0" fontId="13" fillId="0" borderId="40" xfId="63" applyFont="1" applyBorder="1" applyAlignment="1" applyProtection="1">
      <alignment horizontal="left" vertical="center" wrapText="1"/>
      <protection/>
    </xf>
    <xf numFmtId="0" fontId="13" fillId="0" borderId="40" xfId="63" applyFont="1" applyBorder="1" applyAlignment="1" applyProtection="1">
      <alignment horizontal="left" vertical="center"/>
      <protection/>
    </xf>
    <xf numFmtId="0" fontId="13" fillId="0" borderId="38" xfId="67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52" xfId="0" applyBorder="1" applyAlignment="1" applyProtection="1">
      <alignment horizontal="left" vertical="center"/>
      <protection/>
    </xf>
    <xf numFmtId="0" fontId="13" fillId="0" borderId="52" xfId="63" applyFont="1" applyBorder="1" applyAlignment="1" applyProtection="1">
      <alignment horizontal="left" vertical="center" wrapText="1"/>
      <protection/>
    </xf>
    <xf numFmtId="0" fontId="13" fillId="0" borderId="50" xfId="67" applyFont="1" applyFill="1" applyBorder="1" applyAlignment="1" applyProtection="1">
      <alignment horizontal="left" vertical="center"/>
      <protection/>
    </xf>
    <xf numFmtId="0" fontId="13" fillId="0" borderId="50" xfId="63" applyFont="1" applyBorder="1" applyAlignment="1" applyProtection="1">
      <alignment horizontal="left" vertical="center"/>
      <protection/>
    </xf>
    <xf numFmtId="0" fontId="14" fillId="0" borderId="10" xfId="68" applyFont="1" applyBorder="1" applyAlignment="1">
      <alignment horizontal="center" textRotation="90" wrapText="1"/>
      <protection/>
    </xf>
    <xf numFmtId="0" fontId="14" fillId="0" borderId="12" xfId="68" applyFont="1" applyBorder="1" applyAlignment="1">
      <alignment horizontal="center" textRotation="90" wrapText="1"/>
      <protection/>
    </xf>
    <xf numFmtId="0" fontId="14" fillId="0" borderId="13" xfId="68" applyFont="1" applyBorder="1" applyAlignment="1">
      <alignment horizontal="center" textRotation="90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>
      <alignment horizontal="left" wrapText="1"/>
    </xf>
    <xf numFmtId="0" fontId="14" fillId="0" borderId="15" xfId="68" applyFont="1" applyBorder="1" applyAlignment="1">
      <alignment horizontal="center"/>
      <protection/>
    </xf>
    <xf numFmtId="0" fontId="14" fillId="0" borderId="25" xfId="68" applyFont="1" applyBorder="1" applyAlignment="1">
      <alignment horizontal="center"/>
      <protection/>
    </xf>
    <xf numFmtId="0" fontId="14" fillId="0" borderId="21" xfId="68" applyFont="1" applyBorder="1" applyAlignment="1">
      <alignment horizontal="center"/>
      <protection/>
    </xf>
    <xf numFmtId="0" fontId="15" fillId="0" borderId="10" xfId="68" applyFont="1" applyBorder="1" applyAlignment="1">
      <alignment horizontal="center" textRotation="90" wrapText="1"/>
      <protection/>
    </xf>
    <xf numFmtId="0" fontId="15" fillId="0" borderId="12" xfId="68" applyFont="1" applyBorder="1" applyAlignment="1">
      <alignment horizontal="center" textRotation="90" wrapText="1"/>
      <protection/>
    </xf>
    <xf numFmtId="0" fontId="15" fillId="0" borderId="13" xfId="68" applyFont="1" applyBorder="1" applyAlignment="1">
      <alignment horizontal="center" textRotation="90" wrapText="1"/>
      <protection/>
    </xf>
    <xf numFmtId="0" fontId="14" fillId="36" borderId="15" xfId="68" applyFont="1" applyFill="1" applyBorder="1" applyAlignment="1">
      <alignment horizontal="center"/>
      <protection/>
    </xf>
    <xf numFmtId="0" fontId="14" fillId="36" borderId="25" xfId="68" applyFont="1" applyFill="1" applyBorder="1" applyAlignment="1">
      <alignment horizontal="center"/>
      <protection/>
    </xf>
    <xf numFmtId="0" fontId="14" fillId="36" borderId="21" xfId="68" applyFont="1" applyFill="1" applyBorder="1" applyAlignment="1">
      <alignment horizontal="center"/>
      <protection/>
    </xf>
    <xf numFmtId="0" fontId="14" fillId="40" borderId="15" xfId="68" applyFont="1" applyFill="1" applyBorder="1" applyAlignment="1">
      <alignment horizontal="center"/>
      <protection/>
    </xf>
    <xf numFmtId="0" fontId="14" fillId="40" borderId="25" xfId="68" applyFont="1" applyFill="1" applyBorder="1" applyAlignment="1">
      <alignment horizontal="center"/>
      <protection/>
    </xf>
    <xf numFmtId="0" fontId="14" fillId="40" borderId="21" xfId="68" applyFont="1" applyFill="1" applyBorder="1" applyAlignment="1">
      <alignment horizontal="center"/>
      <protection/>
    </xf>
    <xf numFmtId="0" fontId="15" fillId="48" borderId="62" xfId="0" applyFont="1" applyFill="1" applyBorder="1" applyAlignment="1" applyProtection="1">
      <alignment horizontal="center"/>
      <protection/>
    </xf>
    <xf numFmtId="0" fontId="15" fillId="48" borderId="77" xfId="0" applyFont="1" applyFill="1" applyBorder="1" applyAlignment="1" applyProtection="1">
      <alignment horizontal="center"/>
      <protection/>
    </xf>
    <xf numFmtId="0" fontId="15" fillId="48" borderId="63" xfId="0" applyFont="1" applyFill="1" applyBorder="1" applyAlignment="1" applyProtection="1">
      <alignment horizontal="center"/>
      <protection/>
    </xf>
    <xf numFmtId="0" fontId="15" fillId="40" borderId="62" xfId="0" applyFont="1" applyFill="1" applyBorder="1" applyAlignment="1" applyProtection="1">
      <alignment horizontal="center"/>
      <protection/>
    </xf>
    <xf numFmtId="0" fontId="0" fillId="0" borderId="77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15" fillId="36" borderId="62" xfId="0" applyFont="1" applyFill="1" applyBorder="1" applyAlignment="1" applyProtection="1">
      <alignment horizontal="center"/>
      <protection/>
    </xf>
    <xf numFmtId="0" fontId="15" fillId="36" borderId="77" xfId="0" applyFont="1" applyFill="1" applyBorder="1" applyAlignment="1" applyProtection="1">
      <alignment horizontal="center"/>
      <protection/>
    </xf>
    <xf numFmtId="0" fontId="15" fillId="36" borderId="63" xfId="0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180" fontId="16" fillId="41" borderId="50" xfId="0" applyNumberFormat="1" applyFont="1" applyFill="1" applyBorder="1" applyAlignment="1" applyProtection="1">
      <alignment horizontal="right" vertical="center"/>
      <protection locked="0"/>
    </xf>
    <xf numFmtId="180" fontId="16" fillId="41" borderId="38" xfId="0" applyNumberFormat="1" applyFont="1" applyFill="1" applyBorder="1" applyAlignment="1" applyProtection="1">
      <alignment horizontal="right" vertical="center"/>
      <protection locked="0"/>
    </xf>
    <xf numFmtId="180" fontId="16" fillId="41" borderId="52" xfId="0" applyNumberFormat="1" applyFont="1" applyFill="1" applyBorder="1" applyAlignment="1" applyProtection="1">
      <alignment horizontal="right" vertical="center"/>
      <protection locked="0"/>
    </xf>
    <xf numFmtId="180" fontId="8" fillId="33" borderId="75" xfId="0" applyNumberFormat="1" applyFont="1" applyFill="1" applyBorder="1" applyAlignment="1">
      <alignment horizontal="right" vertical="center"/>
    </xf>
    <xf numFmtId="180" fontId="8" fillId="33" borderId="34" xfId="0" applyNumberFormat="1" applyFont="1" applyFill="1" applyBorder="1" applyAlignment="1">
      <alignment horizontal="right" vertical="center"/>
    </xf>
    <xf numFmtId="180" fontId="8" fillId="33" borderId="7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54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/>
      <protection/>
    </xf>
    <xf numFmtId="0" fontId="8" fillId="0" borderId="48" xfId="0" applyFont="1" applyFill="1" applyBorder="1" applyAlignment="1" applyProtection="1">
      <alignment horizontal="left"/>
      <protection/>
    </xf>
    <xf numFmtId="180" fontId="16" fillId="41" borderId="86" xfId="0" applyNumberFormat="1" applyFont="1" applyFill="1" applyBorder="1" applyAlignment="1" applyProtection="1">
      <alignment horizontal="right" vertical="center"/>
      <protection locked="0"/>
    </xf>
    <xf numFmtId="180" fontId="16" fillId="41" borderId="53" xfId="0" applyNumberFormat="1" applyFont="1" applyFill="1" applyBorder="1" applyAlignment="1" applyProtection="1">
      <alignment horizontal="right" vertical="center"/>
      <protection locked="0"/>
    </xf>
    <xf numFmtId="0" fontId="37" fillId="0" borderId="22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53" xfId="0" applyFont="1" applyFill="1" applyBorder="1" applyAlignment="1" applyProtection="1">
      <alignment horizontal="left" vertical="center"/>
      <protection/>
    </xf>
    <xf numFmtId="180" fontId="16" fillId="41" borderId="35" xfId="0" applyNumberFormat="1" applyFont="1" applyFill="1" applyBorder="1" applyAlignment="1" applyProtection="1">
      <alignment horizontal="right" vertical="center"/>
      <protection locked="0"/>
    </xf>
    <xf numFmtId="0" fontId="37" fillId="0" borderId="35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8" fillId="0" borderId="92" xfId="0" applyFont="1" applyFill="1" applyBorder="1" applyAlignment="1" applyProtection="1">
      <alignment horizontal="left" vertical="center"/>
      <protection/>
    </xf>
    <xf numFmtId="0" fontId="8" fillId="0" borderId="91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51" xfId="0" applyFont="1" applyFill="1" applyBorder="1" applyAlignment="1" applyProtection="1">
      <alignment horizontal="left"/>
      <protection/>
    </xf>
    <xf numFmtId="0" fontId="13" fillId="0" borderId="62" xfId="0" applyFont="1" applyBorder="1" applyAlignment="1" applyProtection="1">
      <alignment horizontal="left" vertical="center" wrapText="1"/>
      <protection/>
    </xf>
    <xf numFmtId="0" fontId="8" fillId="0" borderId="77" xfId="0" applyFont="1" applyBorder="1" applyAlignment="1" applyProtection="1">
      <alignment horizontal="left" vertical="center" wrapText="1"/>
      <protection/>
    </xf>
    <xf numFmtId="0" fontId="13" fillId="0" borderId="77" xfId="0" applyFont="1" applyBorder="1" applyAlignment="1" applyProtection="1">
      <alignment horizontal="left" vertical="center" wrapText="1"/>
      <protection/>
    </xf>
    <xf numFmtId="0" fontId="13" fillId="0" borderId="63" xfId="0" applyFont="1" applyBorder="1" applyAlignment="1" applyProtection="1">
      <alignment horizontal="left" vertical="center" wrapText="1"/>
      <protection/>
    </xf>
    <xf numFmtId="180" fontId="8" fillId="33" borderId="3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45" xfId="0" applyFont="1" applyFill="1" applyBorder="1" applyAlignment="1" applyProtection="1">
      <alignment horizontal="left" vertical="center"/>
      <protection/>
    </xf>
    <xf numFmtId="0" fontId="37" fillId="0" borderId="5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59" xfId="0" applyBorder="1" applyAlignment="1">
      <alignment horizontal="left"/>
    </xf>
    <xf numFmtId="0" fontId="37" fillId="0" borderId="52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53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45" xfId="0" applyFont="1" applyFill="1" applyBorder="1" applyAlignment="1" applyProtection="1">
      <alignment horizontal="left" wrapText="1"/>
      <protection/>
    </xf>
    <xf numFmtId="0" fontId="37" fillId="0" borderId="76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8" fillId="0" borderId="92" xfId="0" applyFont="1" applyFill="1" applyBorder="1" applyAlignment="1" applyProtection="1">
      <alignment horizontal="left"/>
      <protection/>
    </xf>
    <xf numFmtId="0" fontId="8" fillId="0" borderId="91" xfId="0" applyFont="1" applyFill="1" applyBorder="1" applyAlignment="1" applyProtection="1">
      <alignment horizontal="left"/>
      <protection/>
    </xf>
    <xf numFmtId="0" fontId="36" fillId="0" borderId="22" xfId="0" applyFont="1" applyBorder="1" applyAlignment="1" applyProtection="1">
      <alignment horizontal="center"/>
      <protection/>
    </xf>
    <xf numFmtId="0" fontId="36" fillId="0" borderId="29" xfId="0" applyFont="1" applyBorder="1" applyAlignment="1" applyProtection="1">
      <alignment horizontal="center"/>
      <protection/>
    </xf>
    <xf numFmtId="0" fontId="36" fillId="0" borderId="22" xfId="0" applyFont="1" applyBorder="1" applyAlignment="1" applyProtection="1">
      <alignment horizontal="left"/>
      <protection/>
    </xf>
    <xf numFmtId="0" fontId="36" fillId="0" borderId="23" xfId="0" applyFont="1" applyBorder="1" applyAlignment="1" applyProtection="1">
      <alignment horizontal="left"/>
      <protection/>
    </xf>
    <xf numFmtId="0" fontId="36" fillId="0" borderId="29" xfId="0" applyFont="1" applyBorder="1" applyAlignment="1" applyProtection="1">
      <alignment horizontal="left"/>
      <protection/>
    </xf>
    <xf numFmtId="0" fontId="36" fillId="0" borderId="30" xfId="0" applyFont="1" applyBorder="1" applyAlignment="1" applyProtection="1">
      <alignment horizontal="left"/>
      <protection/>
    </xf>
    <xf numFmtId="0" fontId="8" fillId="0" borderId="80" xfId="0" applyFont="1" applyBorder="1" applyAlignment="1">
      <alignment horizontal="left" vertical="center" indent="1"/>
    </xf>
    <xf numFmtId="0" fontId="8" fillId="0" borderId="54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40" borderId="62" xfId="0" applyFont="1" applyFill="1" applyBorder="1" applyAlignment="1" applyProtection="1">
      <alignment horizontal="center" vertical="center" wrapText="1"/>
      <protection/>
    </xf>
    <xf numFmtId="0" fontId="13" fillId="40" borderId="63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  <protection/>
    </xf>
    <xf numFmtId="0" fontId="8" fillId="0" borderId="22" xfId="67" applyFont="1" applyFill="1" applyBorder="1" applyAlignment="1" applyProtection="1">
      <alignment horizontal="center" vertical="center"/>
      <protection/>
    </xf>
    <xf numFmtId="0" fontId="8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C18" sqref="C18"/>
    </sheetView>
  </sheetViews>
  <sheetFormatPr defaultColWidth="8.8515625" defaultRowHeight="12.75"/>
  <cols>
    <col min="1" max="1" width="44.00390625" style="1371" customWidth="1"/>
    <col min="2" max="8" width="13.8515625" style="1371" customWidth="1"/>
    <col min="9" max="16384" width="8.8515625" style="1371" customWidth="1"/>
  </cols>
  <sheetData>
    <row r="1" spans="1:7" s="1373" customFormat="1" ht="12.75">
      <c r="A1" s="5" t="s">
        <v>33</v>
      </c>
      <c r="G1" s="1374" t="s">
        <v>795</v>
      </c>
    </row>
    <row r="3" spans="1:6" ht="12.75" customHeight="1">
      <c r="A3" s="238" t="s">
        <v>249</v>
      </c>
      <c r="B3" s="1394" t="s">
        <v>52</v>
      </c>
      <c r="C3" s="1394"/>
      <c r="D3" s="1394"/>
      <c r="E3" s="1394"/>
      <c r="F3" s="1395"/>
    </row>
    <row r="4" spans="1:6" ht="12.75">
      <c r="A4" s="242"/>
      <c r="B4" s="1372" t="s">
        <v>695</v>
      </c>
      <c r="C4" s="1372" t="s">
        <v>219</v>
      </c>
      <c r="D4" s="1372" t="s">
        <v>694</v>
      </c>
      <c r="E4" s="1372" t="s">
        <v>815</v>
      </c>
      <c r="F4" s="245" t="s">
        <v>34</v>
      </c>
    </row>
    <row r="5" spans="1:6" ht="12.75">
      <c r="A5" s="1375" t="s">
        <v>259</v>
      </c>
      <c r="B5" s="1376">
        <f>'WPD - Final Allocation'!J47</f>
        <v>0.4614642843545223</v>
      </c>
      <c r="C5" s="1377">
        <f>'WPD - Final Allocation'!I47</f>
        <v>0.08969831053672904</v>
      </c>
      <c r="D5" s="1377">
        <f>'WPD - Final Allocation'!H47</f>
        <v>0.19859307439590398</v>
      </c>
      <c r="E5" s="1377">
        <f>'WPD - Final Allocation'!F47</f>
        <v>0.25024433071284463</v>
      </c>
      <c r="F5" s="1378" t="s">
        <v>253</v>
      </c>
    </row>
    <row r="6" spans="1:6" ht="12.75">
      <c r="A6" s="1375" t="s">
        <v>35</v>
      </c>
      <c r="B6" s="1379">
        <f>'WPD - Final Allocation'!J46</f>
        <v>0.1758419357288819</v>
      </c>
      <c r="C6" s="1380">
        <f>'WPD - Final Allocation'!I46</f>
        <v>0.05317823044572097</v>
      </c>
      <c r="D6" s="1380">
        <f>'WPD - Final Allocation'!H46</f>
        <v>0.20608048808998844</v>
      </c>
      <c r="E6" s="1380">
        <f>'WPD - Final Allocation'!F46</f>
        <v>0.5648993457354088</v>
      </c>
      <c r="F6" s="1381" t="s">
        <v>253</v>
      </c>
    </row>
    <row r="7" spans="1:6" ht="12.75">
      <c r="A7" s="1382" t="s">
        <v>51</v>
      </c>
      <c r="B7" s="1383">
        <f>'WPD - Final Allocation'!J45</f>
        <v>0.1758419357288819</v>
      </c>
      <c r="C7" s="1384">
        <f>'WPD - Final Allocation'!I45</f>
        <v>0.05317823044572097</v>
      </c>
      <c r="D7" s="1384">
        <f>'WPD - Final Allocation'!H45</f>
        <v>0.20608048808998844</v>
      </c>
      <c r="E7" s="1384">
        <f>'WPD - Final Allocation'!F45</f>
        <v>0.5648993457354088</v>
      </c>
      <c r="F7" s="1385" t="s">
        <v>253</v>
      </c>
    </row>
    <row r="8" spans="1:6" ht="12.75">
      <c r="A8" s="243" t="s">
        <v>31</v>
      </c>
      <c r="B8" s="263">
        <f>'WPD - Final Allocation'!O50</f>
        <v>0.2650437725819224</v>
      </c>
      <c r="C8" s="1386">
        <f>'WPD - Final Allocation'!N50</f>
        <v>0.06458370428841323</v>
      </c>
      <c r="D8" s="1386">
        <f>'WPD - Final Allocation'!M50</f>
        <v>0.20374211695760083</v>
      </c>
      <c r="E8" s="1386">
        <f>'WPD - Final Allocation'!L50</f>
        <v>0.4666304061720635</v>
      </c>
      <c r="F8" s="264" t="s">
        <v>253</v>
      </c>
    </row>
    <row r="9" spans="1:6" ht="38.25">
      <c r="A9" s="244" t="s">
        <v>58</v>
      </c>
      <c r="B9" s="262">
        <f>'WPD - Final Allocation'!P82</f>
        <v>0.3305514890093124</v>
      </c>
      <c r="C9" s="265">
        <f>'WPD - Final Allocation'!O82</f>
        <v>0.08054609021863954</v>
      </c>
      <c r="D9" s="265">
        <f>'WPD - Final Allocation'!N82</f>
        <v>0.1678339886072906</v>
      </c>
      <c r="E9" s="265">
        <f>'WPD - Final Allocation'!M82</f>
        <v>0.3758396240326445</v>
      </c>
      <c r="F9" s="266">
        <f>'WPD - Final Allocation'!Q82</f>
        <v>0.045228808132113156</v>
      </c>
    </row>
    <row r="10" spans="1:6" ht="12.75">
      <c r="A10" s="244" t="s">
        <v>204</v>
      </c>
      <c r="B10" s="275">
        <f>'Calc - WPD Opex Allocation'!AB48</f>
        <v>0.5758648521811703</v>
      </c>
      <c r="C10" s="276">
        <f>'Calc - WPD Opex Allocation'!AA48</f>
        <v>0.8607945569251998</v>
      </c>
      <c r="D10" s="276">
        <f>'Calc - WPD Opex Allocation'!Z48</f>
        <v>0.8623204754057672</v>
      </c>
      <c r="E10" s="276">
        <f>'Calc - WPD Opex Allocation'!Y48</f>
        <v>0.704778005937233</v>
      </c>
      <c r="F10" s="277" t="s">
        <v>253</v>
      </c>
    </row>
    <row r="12" spans="2:8" ht="12" customHeight="1">
      <c r="B12" s="1372" t="s">
        <v>695</v>
      </c>
      <c r="C12" s="1372" t="s">
        <v>90</v>
      </c>
      <c r="D12" s="1372" t="s">
        <v>694</v>
      </c>
      <c r="E12" s="1372" t="s">
        <v>810</v>
      </c>
      <c r="F12" s="1372" t="s">
        <v>815</v>
      </c>
      <c r="G12" s="1372" t="s">
        <v>811</v>
      </c>
      <c r="H12" s="1372" t="s">
        <v>813</v>
      </c>
    </row>
    <row r="13" spans="1:8" ht="12.75">
      <c r="A13" s="1366" t="s">
        <v>812</v>
      </c>
      <c r="B13" s="262">
        <f aca="true" t="shared" si="0" ref="B13:D14">B9</f>
        <v>0.3305514890093124</v>
      </c>
      <c r="C13" s="262">
        <f t="shared" si="0"/>
        <v>0.08054609021863954</v>
      </c>
      <c r="D13" s="262">
        <f t="shared" si="0"/>
        <v>0.1678339886072906</v>
      </c>
      <c r="E13" s="262">
        <f>E9*'Calc-MEAV'!$N28</f>
        <v>0.07463102965260311</v>
      </c>
      <c r="F13" s="262">
        <f>E9*'Calc-MEAV'!$N29</f>
        <v>0.020281850186674333</v>
      </c>
      <c r="G13" s="262">
        <f>E9*'Calc-MEAV'!$N30</f>
        <v>0.038890546540395435</v>
      </c>
      <c r="H13" s="262">
        <f>E9*'Calc-MEAV'!$N31</f>
        <v>0.2420361976529716</v>
      </c>
    </row>
    <row r="14" spans="1:8" ht="12.75">
      <c r="A14" s="1366" t="s">
        <v>204</v>
      </c>
      <c r="B14" s="262">
        <f t="shared" si="0"/>
        <v>0.5758648521811703</v>
      </c>
      <c r="C14" s="262">
        <f t="shared" si="0"/>
        <v>0.8607945569251998</v>
      </c>
      <c r="D14" s="262">
        <f t="shared" si="0"/>
        <v>0.8623204754057672</v>
      </c>
      <c r="E14" s="262">
        <f>E10</f>
        <v>0.704778005937233</v>
      </c>
      <c r="F14" s="262">
        <f>E10</f>
        <v>0.704778005937233</v>
      </c>
      <c r="G14" s="262">
        <f>E10</f>
        <v>0.704778005937233</v>
      </c>
      <c r="H14" s="262">
        <f>E10</f>
        <v>0.704778005937233</v>
      </c>
    </row>
    <row r="16" spans="1:8" ht="12.75">
      <c r="A16" s="1367"/>
      <c r="B16" s="1372" t="s">
        <v>695</v>
      </c>
      <c r="C16" s="1372" t="s">
        <v>694</v>
      </c>
      <c r="D16" s="1372" t="s">
        <v>713</v>
      </c>
      <c r="E16" s="1372" t="s">
        <v>813</v>
      </c>
      <c r="G16" s="1367"/>
      <c r="H16" s="1367"/>
    </row>
    <row r="17" spans="1:8" ht="12.75">
      <c r="A17" s="1367" t="s">
        <v>894</v>
      </c>
      <c r="B17" s="905">
        <v>0.182</v>
      </c>
      <c r="C17" s="262">
        <v>0.54</v>
      </c>
      <c r="D17" s="262">
        <v>1</v>
      </c>
      <c r="E17" s="262">
        <v>1</v>
      </c>
      <c r="G17" s="1367"/>
      <c r="H17" s="1367"/>
    </row>
    <row r="19" spans="1:2" ht="12.75">
      <c r="A19" s="1367" t="s">
        <v>957</v>
      </c>
      <c r="B19" s="1372" t="s">
        <v>958</v>
      </c>
    </row>
    <row r="20" ht="12.75">
      <c r="B20" s="1367" t="b">
        <v>1</v>
      </c>
    </row>
    <row r="21" ht="12.75">
      <c r="A21" s="1367" t="s">
        <v>895</v>
      </c>
    </row>
    <row r="23" spans="2:13" ht="12.75">
      <c r="B23" s="1396" t="s">
        <v>931</v>
      </c>
      <c r="C23" s="1396"/>
      <c r="D23" s="1396"/>
      <c r="E23" s="1396"/>
      <c r="F23" s="1396" t="s">
        <v>605</v>
      </c>
      <c r="G23" s="1396"/>
      <c r="H23" s="1396"/>
      <c r="I23" s="1396"/>
      <c r="J23" s="1396" t="s">
        <v>606</v>
      </c>
      <c r="K23" s="1396"/>
      <c r="L23" s="1396"/>
      <c r="M23" s="1396"/>
    </row>
    <row r="24" spans="1:13" ht="63.75">
      <c r="A24" s="904" t="s">
        <v>15</v>
      </c>
      <c r="B24" s="904" t="s">
        <v>959</v>
      </c>
      <c r="C24" s="904" t="s">
        <v>960</v>
      </c>
      <c r="D24" s="904" t="s">
        <v>961</v>
      </c>
      <c r="E24" s="904" t="s">
        <v>16</v>
      </c>
      <c r="F24" s="904" t="s">
        <v>810</v>
      </c>
      <c r="G24" s="904" t="s">
        <v>815</v>
      </c>
      <c r="H24" s="904" t="s">
        <v>811</v>
      </c>
      <c r="I24" s="904" t="s">
        <v>813</v>
      </c>
      <c r="J24" s="904" t="s">
        <v>810</v>
      </c>
      <c r="K24" s="904" t="s">
        <v>815</v>
      </c>
      <c r="L24" s="904" t="s">
        <v>811</v>
      </c>
      <c r="M24" s="904" t="s">
        <v>813</v>
      </c>
    </row>
    <row r="25" spans="1:13" ht="12.75">
      <c r="A25" s="1390" t="s">
        <v>17</v>
      </c>
      <c r="B25" s="1387">
        <f>IF((SUM(B$13:H$13)-SUMPRODUCT(F25:I25,E$13:H$13))/(1-SUMPRODUCT(J25:M25,E$13:H$13))&gt;1,1,(SUM(B$13:H$13)-SUMPRODUCT(F25:I25,E$13:H$13))/(1-SUMPRODUCT(J25:M25,E$13:H$13)))</f>
        <v>0.9547711918678871</v>
      </c>
      <c r="C25" s="1387">
        <f>IF((SUM(C$13:H$13)-SUMPRODUCT(F25:I25,E$13:H$13))/(1-B$13-SUMPRODUCT(J25:M25,E$13:H$13))&gt;1,1,(SUM(C$13:H$13)-SUMPRODUCT(F25:I25,E$13:H$13))/(1-B$13-SUMPRODUCT(J25:M25,E$13:H$13)))</f>
        <v>0.9324387053080739</v>
      </c>
      <c r="D25" s="1387">
        <f>IF((SUM(D$13:H$13)-SUMPRODUCT(F25:I25,E$13:H$13))/(1-SUM(B$13:C$13)-SUMPRODUCT(J25:M25,E$13:H$13))&gt;1,1,(SUM(D$13:H$13)-SUMPRODUCT(F25:I25,E$13:H$13))/(1-SUM(B$13:C$13)-SUMPRODUCT(J25:M25,E$13:H$13)))</f>
        <v>0.9231981283540689</v>
      </c>
      <c r="E25" s="1387">
        <f>IF((SUM(E$13:H$13)-SUMPRODUCT(F25:I25,E$13:H$13))/(1-SUM(B$13:D$13)-SUMPRODUCT(J25:M25,E$13:H$13))&gt;1,1,(SUM(E$13:H$13)-SUMPRODUCT(F25:I25,E$13:H$13))/(1-SUM(B$13:D$13)-SUMPRODUCT(J25:M25,E$13:H$13)))</f>
        <v>0.8925856115606035</v>
      </c>
      <c r="F25" s="1388">
        <v>0</v>
      </c>
      <c r="G25" s="1388">
        <v>0</v>
      </c>
      <c r="H25" s="1388">
        <v>0</v>
      </c>
      <c r="I25" s="1388">
        <v>0</v>
      </c>
      <c r="J25" s="1389">
        <v>0</v>
      </c>
      <c r="K25" s="1389">
        <v>0</v>
      </c>
      <c r="L25" s="1389">
        <v>0</v>
      </c>
      <c r="M25" s="1389">
        <v>0</v>
      </c>
    </row>
    <row r="26" spans="1:13" ht="12" customHeight="1">
      <c r="A26" s="1390" t="s">
        <v>360</v>
      </c>
      <c r="B26" s="1387">
        <f>IF((SUM(B$13:H$13)-SUMPRODUCT(F26:I26,E$13:H$13))/(1-SUMPRODUCT(J26:M26,E$13:H$13))&gt;1,1,(SUM(B$13:H$13)-SUMPRODUCT(F26:I26,E$13:H$13))/(1-SUMPRODUCT(J26:M26,E$13:H$13)))</f>
        <v>0.7841894031213957</v>
      </c>
      <c r="C26" s="1387">
        <f>IF((SUM(C$13:H$13)-SUMPRODUCT(F26:I26,E$13:H$13))/(1-B$13-SUMPRODUCT(J26:M26,E$13:H$13))&gt;1,1,(SUM(C$13:H$13)-SUMPRODUCT(F26:I26,E$13:H$13))/(1-B$13-SUMPRODUCT(J26:M26,E$13:H$13)))</f>
        <v>0.6776292824085371</v>
      </c>
      <c r="D26" s="1387">
        <f>IF((SUM(D$13:H$13)-SUMPRODUCT(F26:I26,E$13:H$13))/(1-SUM(B$13:C$13)-SUMPRODUCT(J26:M26,E$13:H$13))&gt;1,1,(SUM(D$13:H$13)-SUMPRODUCT(F26:I26,E$13:H$13))/(1-SUM(B$13:C$13)-SUMPRODUCT(J26:M26,E$13:H$13)))</f>
        <v>0.633537595930277</v>
      </c>
      <c r="E26" s="1387">
        <f>IF((SUM(E$13:H$13)-SUMPRODUCT(F26:I26,E$13:H$13))/(1-SUM(B$13:D$13)-SUMPRODUCT(J26:M26,E$13:H$13))&gt;1,1,(SUM(E$13:H$13)-SUMPRODUCT(F26:I26,E$13:H$13))/(1-SUM(B$13:D$13)-SUMPRODUCT(J26:M26,E$13:H$13)))</f>
        <v>0.48746906584970257</v>
      </c>
      <c r="F26" s="1388">
        <v>0</v>
      </c>
      <c r="G26" s="1388">
        <v>0</v>
      </c>
      <c r="H26" s="1388">
        <v>0</v>
      </c>
      <c r="I26" s="1388">
        <f>IF($B$20,$E$17*$H$14,1)</f>
        <v>0.704778005937233</v>
      </c>
      <c r="J26" s="1389">
        <v>0</v>
      </c>
      <c r="K26" s="1389">
        <v>0</v>
      </c>
      <c r="L26" s="1389">
        <v>0</v>
      </c>
      <c r="M26" s="1389">
        <v>0</v>
      </c>
    </row>
    <row r="27" spans="1:13" ht="12.75">
      <c r="A27" s="1390" t="s">
        <v>361</v>
      </c>
      <c r="B27" s="1387">
        <f>IF((SUM(B$13:H$13)-SUMPRODUCT(F27:I27,E$13:H$13))/(1-SUMPRODUCT(J27:M27,E$13:H$13))&gt;1,1,(SUM(B$13:H$13)-SUMPRODUCT(F27:I27,E$13:H$13))/(1-SUMPRODUCT(J27:M27,E$13:H$13)))</f>
        <v>0.67384444767452</v>
      </c>
      <c r="C27" s="1387">
        <f>IF((SUM(C$13:H$13)-SUMPRODUCT(F27:I27,E$13:H$13))/(1-B$13-SUMPRODUCT(J27:M27,E$13:H$13))&gt;1,1,(SUM(C$13:H$13)-SUMPRODUCT(F27:I27,E$13:H$13))/(1-B$13-SUMPRODUCT(J27:M27,E$13:H$13)))</f>
        <v>0.5127996448258334</v>
      </c>
      <c r="D27" s="1387">
        <f>IF((SUM(D$13:H$13)-SUMPRODUCT(F27:I27,E$13:H$13))/(1-SUM(B$13:C$13)-SUMPRODUCT(J27:M27,E$13:H$13))&gt;1,1,(SUM(D$13:H$13)-SUMPRODUCT(F27:I27,E$13:H$13))/(1-SUM(B$13:C$13)-SUMPRODUCT(J27:M27,E$13:H$13)))</f>
        <v>0.4461636753031313</v>
      </c>
      <c r="E27" s="1387">
        <f>IF((SUM(E$13:H$13)-SUMPRODUCT(F27:I27,E$13:H$13))/(1-SUM(B$13:D$13)-SUMPRODUCT(J27:M27,E$13:H$13))&gt;1,1,(SUM(E$13:H$13)-SUMPRODUCT(F27:I27,E$13:H$13))/(1-SUM(B$13:D$13)-SUMPRODUCT(J27:M27,E$13:H$13)))</f>
        <v>0.22540963080827564</v>
      </c>
      <c r="F27" s="1388">
        <v>0</v>
      </c>
      <c r="G27" s="1388">
        <v>0</v>
      </c>
      <c r="H27" s="1388">
        <v>1</v>
      </c>
      <c r="I27" s="1388">
        <v>1</v>
      </c>
      <c r="J27" s="1389">
        <v>0</v>
      </c>
      <c r="K27" s="1389">
        <v>0</v>
      </c>
      <c r="L27" s="1389">
        <v>0</v>
      </c>
      <c r="M27" s="1389">
        <v>0</v>
      </c>
    </row>
    <row r="28" spans="1:13" ht="12.75">
      <c r="A28" s="1390" t="s">
        <v>362</v>
      </c>
      <c r="B28" s="1387">
        <f>IF((SUM(B$13:H$13)-SUMPRODUCT(F28:I28,E$13:H$13))/(1-SUMPRODUCT(J28:M28,E$13:H$13))&gt;1,1,(SUM(B$13:H$13)-SUMPRODUCT(F28:I28,E$13:H$13))/(1-SUMPRODUCT(J28:M28,E$13:H$13)))</f>
        <v>0.6595502457432381</v>
      </c>
      <c r="C28" s="1387">
        <f>IF((SUM(C$13:H$13)-SUMPRODUCT(F28:I28,E$13:H$13))/(1-B$13-SUMPRODUCT(J28:M28,E$13:H$13))&gt;1,1,(SUM(C$13:H$13)-SUMPRODUCT(F28:I28,E$13:H$13))/(1-B$13-SUMPRODUCT(J28:M28,E$13:H$13)))</f>
        <v>0.49144743969488364</v>
      </c>
      <c r="D28" s="1387">
        <f>IF((SUM(D$13:H$13)-SUMPRODUCT(F28:I28,E$13:H$13))/(1-SUM(B$13:C$13)-SUMPRODUCT(J28:M28,E$13:H$13))&gt;1,1,(SUM(D$13:H$13)-SUMPRODUCT(F28:I28,E$13:H$13))/(1-SUM(B$13:C$13)-SUMPRODUCT(J28:M28,E$13:H$13)))</f>
        <v>0.4218910599646812</v>
      </c>
      <c r="E28" s="1387">
        <f>IF((SUM(E$13:H$13)-SUMPRODUCT(F28:I28,E$13:H$13))/(1-SUM(B$13:D$13)-SUMPRODUCT(J28:M28,E$13:H$13))&gt;1,1,(SUM(E$13:H$13)-SUMPRODUCT(F28:I28,E$13:H$13))/(1-SUM(B$13:D$13)-SUMPRODUCT(J28:M28,E$13:H$13)))</f>
        <v>0.19146217514698563</v>
      </c>
      <c r="F28" s="1388">
        <v>0</v>
      </c>
      <c r="G28" s="1388">
        <f>IF($B$20,$D$17*$F$14,1)</f>
        <v>0.704778005937233</v>
      </c>
      <c r="H28" s="1388">
        <v>1</v>
      </c>
      <c r="I28" s="1388">
        <v>1</v>
      </c>
      <c r="J28" s="1389">
        <v>0</v>
      </c>
      <c r="K28" s="1389">
        <v>0</v>
      </c>
      <c r="L28" s="1389">
        <v>0</v>
      </c>
      <c r="M28" s="1389">
        <v>0</v>
      </c>
    </row>
    <row r="29" spans="1:13" ht="12.75">
      <c r="A29" s="1390" t="s">
        <v>363</v>
      </c>
      <c r="B29" s="1387">
        <f>IF((SUM(B$13:H$13)-SUMPRODUCT(F29:I29,E$13:H$13))/(1-SUMPRODUCT(J29:M29,E$13:H$13))&gt;1,1,(SUM(B$13:H$13)-SUMPRODUCT(F29:I29,E$13:H$13))/(1-SUMPRODUCT(J29:M29,E$13:H$13)))</f>
        <v>0.5789315678352426</v>
      </c>
      <c r="C29" s="1387">
        <f>IF((SUM(C$13:H$13)-SUMPRODUCT(F29:I29,E$13:H$13))/(1-B$13-SUMPRODUCT(J29:M29,E$13:H$13))&gt;1,1,(SUM(C$13:H$13)-SUMPRODUCT(F29:I29,E$13:H$13))/(1-B$13-SUMPRODUCT(J29:M29,E$13:H$13)))</f>
        <v>0.3710219303622968</v>
      </c>
      <c r="D29" s="1387">
        <f>IF((SUM(D$13:H$13)-SUMPRODUCT(F29:I29,E$13:H$13))/(1-SUM(B$13:C$13)-SUMPRODUCT(J29:M29,E$13:H$13))&gt;1,1,(SUM(D$13:H$13)-SUMPRODUCT(F29:I29,E$13:H$13))/(1-SUM(B$13:C$13)-SUMPRODUCT(J29:M29,E$13:H$13)))</f>
        <v>0.28499456393346306</v>
      </c>
      <c r="E29" s="1387">
        <f>IF((SUM(E$13:H$13)-SUMPRODUCT(F29:I29,E$13:H$13))/(1-SUM(B$13:D$13)-SUMPRODUCT(J29:M29,E$13:H$13))&gt;1,1,(SUM(E$13:H$13)-SUMPRODUCT(F29:I29,E$13:H$13))/(1-SUM(B$13:D$13)-SUMPRODUCT(J29:M29,E$13:H$13)))</f>
        <v>0</v>
      </c>
      <c r="F29" s="1388">
        <v>1</v>
      </c>
      <c r="G29" s="1388">
        <v>1</v>
      </c>
      <c r="H29" s="1388">
        <v>1</v>
      </c>
      <c r="I29" s="1388">
        <v>1</v>
      </c>
      <c r="J29" s="1389">
        <v>0</v>
      </c>
      <c r="K29" s="1389">
        <v>0</v>
      </c>
      <c r="L29" s="1389">
        <v>0</v>
      </c>
      <c r="M29" s="1389">
        <v>0</v>
      </c>
    </row>
    <row r="30" spans="1:13" ht="12.75">
      <c r="A30" s="904" t="s">
        <v>18</v>
      </c>
      <c r="B30" s="1387"/>
      <c r="C30" s="1387"/>
      <c r="D30" s="1387"/>
      <c r="E30" s="1387"/>
      <c r="F30" s="1388"/>
      <c r="G30" s="1388"/>
      <c r="H30" s="1388"/>
      <c r="I30" s="1388"/>
      <c r="J30" s="1389"/>
      <c r="K30" s="1389"/>
      <c r="L30" s="1389"/>
      <c r="M30" s="1389"/>
    </row>
    <row r="31" spans="1:13" ht="12.75">
      <c r="A31" s="904" t="s">
        <v>18</v>
      </c>
      <c r="B31" s="1387"/>
      <c r="C31" s="1387"/>
      <c r="D31" s="1387"/>
      <c r="E31" s="1387"/>
      <c r="F31" s="1388"/>
      <c r="G31" s="1388"/>
      <c r="H31" s="1388"/>
      <c r="I31" s="1388"/>
      <c r="J31" s="1389"/>
      <c r="K31" s="1389"/>
      <c r="L31" s="1389"/>
      <c r="M31" s="1389"/>
    </row>
    <row r="32" spans="1:13" ht="12.75">
      <c r="A32" s="904" t="s">
        <v>18</v>
      </c>
      <c r="B32" s="1387"/>
      <c r="C32" s="1387"/>
      <c r="D32" s="1387"/>
      <c r="E32" s="1387"/>
      <c r="F32" s="1388"/>
      <c r="G32" s="1388"/>
      <c r="H32" s="1388"/>
      <c r="I32" s="1388"/>
      <c r="J32" s="1389"/>
      <c r="K32" s="1389"/>
      <c r="L32" s="1389"/>
      <c r="M32" s="1389"/>
    </row>
    <row r="33" spans="1:13" ht="12.75">
      <c r="A33" s="904" t="s">
        <v>18</v>
      </c>
      <c r="B33" s="1387"/>
      <c r="C33" s="1387"/>
      <c r="D33" s="1387"/>
      <c r="E33" s="1387"/>
      <c r="F33" s="1388"/>
      <c r="G33" s="1388"/>
      <c r="H33" s="1388"/>
      <c r="I33" s="1388"/>
      <c r="J33" s="1389"/>
      <c r="K33" s="1389"/>
      <c r="L33" s="1389"/>
      <c r="M33" s="1389"/>
    </row>
    <row r="34" spans="1:13" ht="12.75">
      <c r="A34" s="904" t="s">
        <v>18</v>
      </c>
      <c r="B34" s="1387"/>
      <c r="C34" s="1387"/>
      <c r="D34" s="1387"/>
      <c r="E34" s="1387"/>
      <c r="F34" s="1388"/>
      <c r="G34" s="1388"/>
      <c r="H34" s="1388"/>
      <c r="I34" s="1388"/>
      <c r="J34" s="1389"/>
      <c r="K34" s="1389"/>
      <c r="L34" s="1389"/>
      <c r="M34" s="1389"/>
    </row>
    <row r="35" spans="1:13" ht="12.75">
      <c r="A35" s="904" t="s">
        <v>18</v>
      </c>
      <c r="B35" s="1387"/>
      <c r="C35" s="1387"/>
      <c r="D35" s="1387"/>
      <c r="E35" s="1387"/>
      <c r="F35" s="1388"/>
      <c r="G35" s="1388"/>
      <c r="H35" s="1388"/>
      <c r="I35" s="1388"/>
      <c r="J35" s="1389"/>
      <c r="K35" s="1389"/>
      <c r="L35" s="1389"/>
      <c r="M35" s="1389"/>
    </row>
    <row r="36" spans="1:13" ht="12.75">
      <c r="A36" s="904" t="s">
        <v>18</v>
      </c>
      <c r="B36" s="1387"/>
      <c r="C36" s="1387"/>
      <c r="D36" s="1387"/>
      <c r="E36" s="1387"/>
      <c r="F36" s="1388"/>
      <c r="G36" s="1388"/>
      <c r="H36" s="1388"/>
      <c r="I36" s="1388"/>
      <c r="J36" s="1389"/>
      <c r="K36" s="1389"/>
      <c r="L36" s="1389"/>
      <c r="M36" s="1389"/>
    </row>
    <row r="37" spans="1:13" ht="12.75">
      <c r="A37" s="904" t="s">
        <v>18</v>
      </c>
      <c r="B37" s="1387"/>
      <c r="C37" s="1387"/>
      <c r="D37" s="1387"/>
      <c r="E37" s="1387"/>
      <c r="F37" s="1388"/>
      <c r="G37" s="1388"/>
      <c r="H37" s="1388"/>
      <c r="I37" s="1388"/>
      <c r="J37" s="1389"/>
      <c r="K37" s="1389"/>
      <c r="L37" s="1389"/>
      <c r="M37" s="1389"/>
    </row>
    <row r="38" spans="1:13" ht="12.75">
      <c r="A38" s="904" t="s">
        <v>18</v>
      </c>
      <c r="B38" s="1387"/>
      <c r="C38" s="1387"/>
      <c r="D38" s="1387"/>
      <c r="E38" s="1387"/>
      <c r="F38" s="1388"/>
      <c r="G38" s="1388"/>
      <c r="H38" s="1388"/>
      <c r="I38" s="1388"/>
      <c r="J38" s="1389"/>
      <c r="K38" s="1389"/>
      <c r="L38" s="1389"/>
      <c r="M38" s="1389"/>
    </row>
    <row r="39" spans="1:13" ht="12.75">
      <c r="A39" s="904" t="s">
        <v>18</v>
      </c>
      <c r="B39" s="1387"/>
      <c r="C39" s="1387"/>
      <c r="D39" s="1387"/>
      <c r="E39" s="1387"/>
      <c r="F39" s="1388"/>
      <c r="G39" s="1388"/>
      <c r="H39" s="1388"/>
      <c r="I39" s="1388"/>
      <c r="J39" s="1389"/>
      <c r="K39" s="1389"/>
      <c r="L39" s="1389"/>
      <c r="M39" s="1389"/>
    </row>
    <row r="40" spans="1:13" ht="12.75">
      <c r="A40" s="904" t="s">
        <v>18</v>
      </c>
      <c r="B40" s="1387"/>
      <c r="C40" s="1387"/>
      <c r="D40" s="1387"/>
      <c r="E40" s="1387"/>
      <c r="F40" s="1388"/>
      <c r="G40" s="1388"/>
      <c r="H40" s="1388"/>
      <c r="I40" s="1388"/>
      <c r="J40" s="1389"/>
      <c r="K40" s="1389"/>
      <c r="L40" s="1389"/>
      <c r="M40" s="1389"/>
    </row>
    <row r="42" ht="12.75">
      <c r="A42" s="904" t="s">
        <v>171</v>
      </c>
    </row>
    <row r="43" ht="25.5">
      <c r="A43" s="904" t="s">
        <v>172</v>
      </c>
    </row>
    <row r="44" spans="2:6" ht="25.5">
      <c r="B44" s="1391" t="s">
        <v>166</v>
      </c>
      <c r="C44" s="1391" t="s">
        <v>167</v>
      </c>
      <c r="D44" s="1391" t="s">
        <v>168</v>
      </c>
      <c r="E44" s="1391" t="s">
        <v>169</v>
      </c>
      <c r="F44" s="1391" t="s">
        <v>170</v>
      </c>
    </row>
    <row r="45" spans="1:6" ht="12.75">
      <c r="A45" s="904" t="s">
        <v>173</v>
      </c>
      <c r="B45" s="1392"/>
      <c r="C45" s="1393">
        <f>B9*(1-B10*B17)</f>
        <v>0.29590724585640876</v>
      </c>
      <c r="D45" s="1393">
        <f>B9+C9+D9*(1-D10*C17)</f>
        <v>0.5007791580188967</v>
      </c>
      <c r="E45" s="1393">
        <f>(C9+D9*(1-D10*C17))/(1-B9)</f>
        <v>0.25428045057217585</v>
      </c>
      <c r="F45" s="1393">
        <f>D9*(1-D10*C17)/(1-B9-C9)</f>
        <v>0.15228597408951494</v>
      </c>
    </row>
    <row r="46" spans="1:6" ht="12.75">
      <c r="A46" s="904"/>
      <c r="B46" s="1392"/>
      <c r="C46" s="1393"/>
      <c r="D46" s="1393"/>
      <c r="E46" s="1393"/>
      <c r="F46" s="1393"/>
    </row>
  </sheetData>
  <sheetProtection/>
  <mergeCells count="4">
    <mergeCell ref="B3:F3"/>
    <mergeCell ref="B23:E23"/>
    <mergeCell ref="F23:I23"/>
    <mergeCell ref="J23:M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916" t="s">
        <v>610</v>
      </c>
      <c r="B1" s="916"/>
      <c r="F1" t="s">
        <v>611</v>
      </c>
      <c r="G1" s="911" t="s">
        <v>795</v>
      </c>
      <c r="I1" t="s">
        <v>611</v>
      </c>
      <c r="K1" t="s">
        <v>611</v>
      </c>
      <c r="L1" t="s">
        <v>611</v>
      </c>
      <c r="N1" t="s">
        <v>611</v>
      </c>
      <c r="P1" t="s">
        <v>611</v>
      </c>
      <c r="Q1" t="s">
        <v>611</v>
      </c>
      <c r="S1" t="s">
        <v>611</v>
      </c>
      <c r="U1" t="s">
        <v>611</v>
      </c>
      <c r="V1" t="s">
        <v>611</v>
      </c>
      <c r="X1" t="s">
        <v>611</v>
      </c>
      <c r="Z1" t="s">
        <v>611</v>
      </c>
      <c r="AA1" t="s">
        <v>611</v>
      </c>
      <c r="AC1" t="s">
        <v>611</v>
      </c>
      <c r="AE1" t="s">
        <v>611</v>
      </c>
    </row>
    <row r="2" spans="1:2" ht="12.75">
      <c r="A2" s="916"/>
      <c r="B2" s="916"/>
    </row>
    <row r="3" spans="1:2" ht="12.75">
      <c r="A3" s="916" t="s">
        <v>457</v>
      </c>
      <c r="B3" s="916"/>
    </row>
    <row r="4" spans="1:2" ht="12.75">
      <c r="A4" s="916"/>
      <c r="B4" s="916"/>
    </row>
    <row r="5" spans="1:2" ht="12.75">
      <c r="A5" s="916"/>
      <c r="B5" s="916" t="s">
        <v>328</v>
      </c>
    </row>
    <row r="6" ht="13.5" thickBot="1"/>
    <row r="7" spans="2:31" ht="13.5" thickBot="1">
      <c r="B7" s="281"/>
      <c r="C7" s="282"/>
      <c r="D7" s="282"/>
      <c r="E7" s="282"/>
      <c r="F7" s="283"/>
      <c r="G7" s="1443" t="s">
        <v>674</v>
      </c>
      <c r="H7" s="1443"/>
      <c r="I7" s="1443"/>
      <c r="J7" s="1443"/>
      <c r="K7" s="1444"/>
      <c r="L7" s="1443" t="s">
        <v>675</v>
      </c>
      <c r="M7" s="1443"/>
      <c r="N7" s="1443"/>
      <c r="O7" s="1443"/>
      <c r="P7" s="1444"/>
      <c r="Q7" s="1445" t="s">
        <v>535</v>
      </c>
      <c r="R7" s="1443"/>
      <c r="S7" s="1443"/>
      <c r="T7" s="1443"/>
      <c r="U7" s="1444"/>
      <c r="V7" s="1445" t="s">
        <v>676</v>
      </c>
      <c r="W7" s="1443"/>
      <c r="X7" s="1443"/>
      <c r="Y7" s="1443"/>
      <c r="Z7" s="1444"/>
      <c r="AA7" s="1445" t="s">
        <v>538</v>
      </c>
      <c r="AB7" s="1443"/>
      <c r="AC7" s="1443"/>
      <c r="AD7" s="1443"/>
      <c r="AE7" s="1444"/>
    </row>
    <row r="8" spans="2:31" ht="38.25">
      <c r="B8" s="284"/>
      <c r="C8" s="285"/>
      <c r="D8" s="285"/>
      <c r="E8" s="285" t="s">
        <v>395</v>
      </c>
      <c r="F8" s="286" t="s">
        <v>329</v>
      </c>
      <c r="G8" s="1448" t="s">
        <v>465</v>
      </c>
      <c r="H8" s="1448"/>
      <c r="I8" s="1446" t="s">
        <v>333</v>
      </c>
      <c r="J8" s="1448"/>
      <c r="K8" s="287" t="s">
        <v>334</v>
      </c>
      <c r="L8" s="1448" t="s">
        <v>465</v>
      </c>
      <c r="M8" s="1448"/>
      <c r="N8" s="1446" t="s">
        <v>333</v>
      </c>
      <c r="O8" s="1447"/>
      <c r="P8" s="288" t="s">
        <v>334</v>
      </c>
      <c r="Q8" s="1448" t="s">
        <v>465</v>
      </c>
      <c r="R8" s="1448"/>
      <c r="S8" s="1446" t="s">
        <v>333</v>
      </c>
      <c r="T8" s="1448"/>
      <c r="U8" s="287" t="s">
        <v>334</v>
      </c>
      <c r="V8" s="1448" t="s">
        <v>465</v>
      </c>
      <c r="W8" s="1448"/>
      <c r="X8" s="1446" t="s">
        <v>333</v>
      </c>
      <c r="Y8" s="1447"/>
      <c r="Z8" s="288" t="s">
        <v>334</v>
      </c>
      <c r="AA8" s="1448" t="s">
        <v>465</v>
      </c>
      <c r="AB8" s="1448"/>
      <c r="AC8" s="1446" t="s">
        <v>333</v>
      </c>
      <c r="AD8" s="1447"/>
      <c r="AE8" s="288" t="s">
        <v>317</v>
      </c>
    </row>
    <row r="9" spans="2:31" ht="13.5" thickBot="1">
      <c r="B9" s="289"/>
      <c r="C9" s="290"/>
      <c r="D9" s="290"/>
      <c r="E9" s="290"/>
      <c r="F9" s="1242"/>
      <c r="G9" s="1243" t="s">
        <v>318</v>
      </c>
      <c r="H9" s="1244" t="s">
        <v>319</v>
      </c>
      <c r="I9" s="1245" t="s">
        <v>318</v>
      </c>
      <c r="J9" s="1246" t="s">
        <v>319</v>
      </c>
      <c r="K9" s="1247" t="s">
        <v>674</v>
      </c>
      <c r="L9" s="1243" t="s">
        <v>318</v>
      </c>
      <c r="M9" s="1244" t="s">
        <v>319</v>
      </c>
      <c r="N9" s="1245" t="s">
        <v>318</v>
      </c>
      <c r="O9" s="1248" t="s">
        <v>319</v>
      </c>
      <c r="P9" s="1249" t="s">
        <v>675</v>
      </c>
      <c r="Q9" s="1243" t="s">
        <v>318</v>
      </c>
      <c r="R9" s="1244" t="s">
        <v>319</v>
      </c>
      <c r="S9" s="1245" t="s">
        <v>318</v>
      </c>
      <c r="T9" s="1246" t="s">
        <v>319</v>
      </c>
      <c r="U9" s="1247" t="s">
        <v>535</v>
      </c>
      <c r="V9" s="1243" t="s">
        <v>318</v>
      </c>
      <c r="W9" s="1244" t="s">
        <v>319</v>
      </c>
      <c r="X9" s="1245" t="s">
        <v>318</v>
      </c>
      <c r="Y9" s="1248" t="s">
        <v>319</v>
      </c>
      <c r="Z9" s="1249" t="s">
        <v>676</v>
      </c>
      <c r="AA9" s="1243" t="s">
        <v>318</v>
      </c>
      <c r="AB9" s="1244" t="s">
        <v>319</v>
      </c>
      <c r="AC9" s="1245" t="s">
        <v>318</v>
      </c>
      <c r="AD9" s="1248" t="s">
        <v>319</v>
      </c>
      <c r="AE9" s="1249" t="s">
        <v>538</v>
      </c>
    </row>
    <row r="10" spans="2:31" ht="12.75">
      <c r="B10" s="291"/>
      <c r="C10" s="292" t="s">
        <v>97</v>
      </c>
      <c r="D10" s="292"/>
      <c r="E10" s="293"/>
      <c r="F10" s="294"/>
      <c r="G10" s="295"/>
      <c r="H10" s="296"/>
      <c r="I10" s="295"/>
      <c r="J10" s="297"/>
      <c r="K10" s="294"/>
      <c r="L10" s="295"/>
      <c r="M10" s="296"/>
      <c r="N10" s="295"/>
      <c r="O10" s="297"/>
      <c r="P10" s="294"/>
      <c r="Q10" s="295"/>
      <c r="R10" s="296"/>
      <c r="S10" s="295"/>
      <c r="T10" s="297"/>
      <c r="U10" s="294"/>
      <c r="V10" s="295"/>
      <c r="W10" s="296"/>
      <c r="X10" s="295"/>
      <c r="Y10" s="296"/>
      <c r="Z10" s="294"/>
      <c r="AA10" s="295"/>
      <c r="AB10" s="296"/>
      <c r="AC10" s="295"/>
      <c r="AD10" s="296"/>
      <c r="AE10" s="294"/>
    </row>
    <row r="11" spans="2:31" ht="12.75">
      <c r="B11" s="291"/>
      <c r="C11" s="293"/>
      <c r="D11" s="298" t="s">
        <v>320</v>
      </c>
      <c r="E11" s="293"/>
      <c r="F11" s="299"/>
      <c r="G11" s="300"/>
      <c r="H11" s="301"/>
      <c r="I11" s="300"/>
      <c r="J11" s="302"/>
      <c r="K11" s="299"/>
      <c r="L11" s="300"/>
      <c r="M11" s="301"/>
      <c r="N11" s="300"/>
      <c r="O11" s="302"/>
      <c r="P11" s="299"/>
      <c r="Q11" s="300"/>
      <c r="R11" s="301"/>
      <c r="S11" s="300"/>
      <c r="T11" s="302"/>
      <c r="U11" s="303"/>
      <c r="V11" s="300"/>
      <c r="W11" s="301"/>
      <c r="X11" s="300"/>
      <c r="Y11" s="301"/>
      <c r="Z11" s="299"/>
      <c r="AA11" s="300"/>
      <c r="AB11" s="301"/>
      <c r="AC11" s="300"/>
      <c r="AD11" s="301"/>
      <c r="AE11" s="299"/>
    </row>
    <row r="12" spans="2:31" ht="12.75">
      <c r="B12" s="304"/>
      <c r="C12" s="293"/>
      <c r="D12" s="293"/>
      <c r="E12" s="293" t="s">
        <v>98</v>
      </c>
      <c r="F12" s="305">
        <v>5988</v>
      </c>
      <c r="G12" s="306">
        <v>14</v>
      </c>
      <c r="H12" s="307">
        <v>4</v>
      </c>
      <c r="I12" s="306">
        <v>215</v>
      </c>
      <c r="J12" s="307">
        <v>2</v>
      </c>
      <c r="K12" s="305">
        <v>6187</v>
      </c>
      <c r="L12" s="306">
        <v>30</v>
      </c>
      <c r="M12" s="307">
        <v>6</v>
      </c>
      <c r="N12" s="306">
        <v>10</v>
      </c>
      <c r="O12" s="307">
        <v>3</v>
      </c>
      <c r="P12" s="305">
        <v>6164</v>
      </c>
      <c r="Q12" s="306">
        <v>51</v>
      </c>
      <c r="R12" s="307">
        <v>4</v>
      </c>
      <c r="S12" s="306">
        <v>9</v>
      </c>
      <c r="T12" s="307">
        <v>2</v>
      </c>
      <c r="U12" s="308">
        <v>6120</v>
      </c>
      <c r="V12" s="306">
        <v>47.7</v>
      </c>
      <c r="W12" s="307">
        <v>36.3</v>
      </c>
      <c r="X12" s="306">
        <v>8.4</v>
      </c>
      <c r="Y12" s="307">
        <v>14.4</v>
      </c>
      <c r="Z12" s="305">
        <v>6058.8</v>
      </c>
      <c r="AA12" s="306">
        <v>39.6</v>
      </c>
      <c r="AB12" s="307">
        <v>72.1</v>
      </c>
      <c r="AC12" s="306">
        <v>7.2</v>
      </c>
      <c r="AD12" s="307">
        <v>43.7</v>
      </c>
      <c r="AE12" s="305">
        <v>5998</v>
      </c>
    </row>
    <row r="13" spans="2:31" ht="12.75">
      <c r="B13" s="304"/>
      <c r="C13" s="293"/>
      <c r="D13" s="293"/>
      <c r="E13" s="293" t="s">
        <v>99</v>
      </c>
      <c r="F13" s="305">
        <v>236522</v>
      </c>
      <c r="G13" s="306">
        <v>0</v>
      </c>
      <c r="H13" s="307">
        <v>677</v>
      </c>
      <c r="I13" s="306">
        <v>56</v>
      </c>
      <c r="J13" s="309">
        <v>95</v>
      </c>
      <c r="K13" s="305">
        <v>235996</v>
      </c>
      <c r="L13" s="306">
        <v>0</v>
      </c>
      <c r="M13" s="307">
        <v>704</v>
      </c>
      <c r="N13" s="306">
        <v>23</v>
      </c>
      <c r="O13" s="309">
        <v>460</v>
      </c>
      <c r="P13" s="305">
        <v>235775</v>
      </c>
      <c r="Q13" s="306">
        <v>0</v>
      </c>
      <c r="R13" s="307">
        <v>827</v>
      </c>
      <c r="S13" s="306">
        <v>1017</v>
      </c>
      <c r="T13" s="309">
        <v>1434</v>
      </c>
      <c r="U13" s="308">
        <v>237399</v>
      </c>
      <c r="V13" s="306">
        <v>0</v>
      </c>
      <c r="W13" s="307">
        <v>2681</v>
      </c>
      <c r="X13" s="306">
        <v>945</v>
      </c>
      <c r="Y13" s="307">
        <v>820</v>
      </c>
      <c r="Z13" s="305">
        <v>236483</v>
      </c>
      <c r="AA13" s="306">
        <v>0</v>
      </c>
      <c r="AB13" s="307">
        <v>2454</v>
      </c>
      <c r="AC13" s="306">
        <v>814</v>
      </c>
      <c r="AD13" s="307">
        <v>1457</v>
      </c>
      <c r="AE13" s="305">
        <v>236300</v>
      </c>
    </row>
    <row r="14" spans="2:31" ht="12.75">
      <c r="B14" s="304"/>
      <c r="C14" s="293"/>
      <c r="D14" s="293"/>
      <c r="E14" s="293"/>
      <c r="F14" s="310"/>
      <c r="G14" s="311"/>
      <c r="H14" s="312"/>
      <c r="I14" s="311"/>
      <c r="J14" s="313"/>
      <c r="K14" s="310"/>
      <c r="L14" s="311"/>
      <c r="M14" s="312"/>
      <c r="N14" s="311"/>
      <c r="O14" s="313"/>
      <c r="P14" s="310"/>
      <c r="Q14" s="311"/>
      <c r="R14" s="312"/>
      <c r="S14" s="311"/>
      <c r="T14" s="313"/>
      <c r="U14" s="314"/>
      <c r="V14" s="311"/>
      <c r="W14" s="312"/>
      <c r="X14" s="311"/>
      <c r="Y14" s="312"/>
      <c r="Z14" s="310"/>
      <c r="AA14" s="311"/>
      <c r="AB14" s="312"/>
      <c r="AC14" s="311"/>
      <c r="AD14" s="312"/>
      <c r="AE14" s="310"/>
    </row>
    <row r="15" spans="2:31" ht="12.75">
      <c r="B15" s="304"/>
      <c r="C15" s="293"/>
      <c r="D15" s="298" t="s">
        <v>520</v>
      </c>
      <c r="E15" s="293"/>
      <c r="F15" s="310"/>
      <c r="G15" s="311"/>
      <c r="H15" s="312"/>
      <c r="I15" s="311"/>
      <c r="J15" s="313"/>
      <c r="K15" s="310"/>
      <c r="L15" s="311"/>
      <c r="M15" s="312"/>
      <c r="N15" s="311"/>
      <c r="O15" s="313"/>
      <c r="P15" s="310"/>
      <c r="Q15" s="311"/>
      <c r="R15" s="312"/>
      <c r="S15" s="311"/>
      <c r="T15" s="313"/>
      <c r="U15" s="314"/>
      <c r="V15" s="311"/>
      <c r="W15" s="312"/>
      <c r="X15" s="311"/>
      <c r="Y15" s="312"/>
      <c r="Z15" s="310"/>
      <c r="AA15" s="311"/>
      <c r="AB15" s="312"/>
      <c r="AC15" s="311"/>
      <c r="AD15" s="312"/>
      <c r="AE15" s="310"/>
    </row>
    <row r="16" spans="2:31" ht="12.75">
      <c r="B16" s="304"/>
      <c r="C16" s="293"/>
      <c r="D16" s="293"/>
      <c r="E16" s="293" t="s">
        <v>521</v>
      </c>
      <c r="F16" s="305">
        <v>199126</v>
      </c>
      <c r="G16" s="306">
        <v>134</v>
      </c>
      <c r="H16" s="307">
        <v>0</v>
      </c>
      <c r="I16" s="306">
        <v>61</v>
      </c>
      <c r="J16" s="309">
        <v>0</v>
      </c>
      <c r="K16" s="305">
        <v>199053</v>
      </c>
      <c r="L16" s="306">
        <v>781</v>
      </c>
      <c r="M16" s="307">
        <v>0</v>
      </c>
      <c r="N16" s="306">
        <v>54</v>
      </c>
      <c r="O16" s="309">
        <v>0</v>
      </c>
      <c r="P16" s="305">
        <v>198326</v>
      </c>
      <c r="Q16" s="306">
        <v>1955</v>
      </c>
      <c r="R16" s="307">
        <v>1092</v>
      </c>
      <c r="S16" s="306">
        <v>914</v>
      </c>
      <c r="T16" s="309">
        <v>1092</v>
      </c>
      <c r="U16" s="308">
        <v>197285</v>
      </c>
      <c r="V16" s="306">
        <v>1828</v>
      </c>
      <c r="W16" s="307">
        <v>616</v>
      </c>
      <c r="X16" s="306">
        <v>852</v>
      </c>
      <c r="Y16" s="307">
        <v>176</v>
      </c>
      <c r="Z16" s="305">
        <v>195869</v>
      </c>
      <c r="AA16" s="306">
        <v>1517</v>
      </c>
      <c r="AB16" s="307">
        <v>1167</v>
      </c>
      <c r="AC16" s="306">
        <v>719</v>
      </c>
      <c r="AD16" s="307">
        <v>593</v>
      </c>
      <c r="AE16" s="305">
        <v>194497</v>
      </c>
    </row>
    <row r="17" spans="2:31" ht="12.75">
      <c r="B17" s="304"/>
      <c r="C17" s="293"/>
      <c r="D17" s="293"/>
      <c r="E17" s="293"/>
      <c r="F17" s="310"/>
      <c r="G17" s="311"/>
      <c r="H17" s="312"/>
      <c r="I17" s="311"/>
      <c r="J17" s="313"/>
      <c r="K17" s="310"/>
      <c r="L17" s="311"/>
      <c r="M17" s="312"/>
      <c r="N17" s="311"/>
      <c r="O17" s="313"/>
      <c r="P17" s="310"/>
      <c r="Q17" s="311"/>
      <c r="R17" s="312"/>
      <c r="S17" s="311"/>
      <c r="T17" s="313"/>
      <c r="U17" s="314"/>
      <c r="V17" s="311"/>
      <c r="W17" s="312"/>
      <c r="X17" s="311"/>
      <c r="Y17" s="312"/>
      <c r="Z17" s="310"/>
      <c r="AA17" s="311"/>
      <c r="AB17" s="312"/>
      <c r="AC17" s="311"/>
      <c r="AD17" s="312"/>
      <c r="AE17" s="310"/>
    </row>
    <row r="18" spans="2:31" ht="12.75">
      <c r="B18" s="304"/>
      <c r="C18" s="293"/>
      <c r="D18" s="298" t="s">
        <v>634</v>
      </c>
      <c r="E18" s="293"/>
      <c r="F18" s="310"/>
      <c r="G18" s="311"/>
      <c r="H18" s="312"/>
      <c r="I18" s="311"/>
      <c r="J18" s="313"/>
      <c r="K18" s="310"/>
      <c r="L18" s="311"/>
      <c r="M18" s="312"/>
      <c r="N18" s="311"/>
      <c r="O18" s="313"/>
      <c r="P18" s="310"/>
      <c r="Q18" s="311"/>
      <c r="R18" s="312"/>
      <c r="S18" s="311"/>
      <c r="T18" s="313"/>
      <c r="U18" s="314"/>
      <c r="V18" s="311"/>
      <c r="W18" s="312"/>
      <c r="X18" s="311"/>
      <c r="Y18" s="312"/>
      <c r="Z18" s="310"/>
      <c r="AA18" s="311"/>
      <c r="AB18" s="312"/>
      <c r="AC18" s="311"/>
      <c r="AD18" s="312"/>
      <c r="AE18" s="310"/>
    </row>
    <row r="19" spans="2:31" ht="12.75">
      <c r="B19" s="304"/>
      <c r="C19" s="293"/>
      <c r="D19" s="298"/>
      <c r="E19" s="293" t="s">
        <v>423</v>
      </c>
      <c r="F19" s="305">
        <v>4061</v>
      </c>
      <c r="G19" s="306">
        <v>0</v>
      </c>
      <c r="H19" s="307">
        <v>6</v>
      </c>
      <c r="I19" s="306">
        <v>0</v>
      </c>
      <c r="J19" s="309">
        <v>0</v>
      </c>
      <c r="K19" s="305">
        <v>4055</v>
      </c>
      <c r="L19" s="306">
        <v>0</v>
      </c>
      <c r="M19" s="307">
        <v>24</v>
      </c>
      <c r="N19" s="306">
        <v>0</v>
      </c>
      <c r="O19" s="309">
        <v>0</v>
      </c>
      <c r="P19" s="305">
        <v>4031</v>
      </c>
      <c r="Q19" s="306">
        <v>0</v>
      </c>
      <c r="R19" s="307">
        <v>37</v>
      </c>
      <c r="S19" s="306">
        <v>0</v>
      </c>
      <c r="T19" s="309">
        <v>0</v>
      </c>
      <c r="U19" s="308">
        <v>3994</v>
      </c>
      <c r="V19" s="306">
        <v>0</v>
      </c>
      <c r="W19" s="307">
        <v>43</v>
      </c>
      <c r="X19" s="306">
        <v>0</v>
      </c>
      <c r="Y19" s="307">
        <v>0</v>
      </c>
      <c r="Z19" s="305">
        <v>3951</v>
      </c>
      <c r="AA19" s="306">
        <v>0</v>
      </c>
      <c r="AB19" s="307">
        <v>48</v>
      </c>
      <c r="AC19" s="306">
        <v>0</v>
      </c>
      <c r="AD19" s="307">
        <v>0</v>
      </c>
      <c r="AE19" s="305">
        <v>3903</v>
      </c>
    </row>
    <row r="20" spans="2:31" ht="12.75">
      <c r="B20" s="304"/>
      <c r="C20" s="293"/>
      <c r="D20" s="298"/>
      <c r="E20" s="293" t="s">
        <v>386</v>
      </c>
      <c r="F20" s="305">
        <v>3759.5</v>
      </c>
      <c r="G20" s="306">
        <v>0</v>
      </c>
      <c r="H20" s="307">
        <v>0</v>
      </c>
      <c r="I20" s="306">
        <v>648</v>
      </c>
      <c r="J20" s="309">
        <v>24</v>
      </c>
      <c r="K20" s="305">
        <v>4431.5</v>
      </c>
      <c r="L20" s="306">
        <v>0</v>
      </c>
      <c r="M20" s="307">
        <v>0</v>
      </c>
      <c r="N20" s="306">
        <v>50</v>
      </c>
      <c r="O20" s="309">
        <v>286</v>
      </c>
      <c r="P20" s="305">
        <v>4767.5</v>
      </c>
      <c r="Q20" s="306">
        <v>0</v>
      </c>
      <c r="R20" s="307">
        <v>0</v>
      </c>
      <c r="S20" s="306">
        <v>301.4</v>
      </c>
      <c r="T20" s="309">
        <v>56</v>
      </c>
      <c r="U20" s="308">
        <v>5124.9</v>
      </c>
      <c r="V20" s="306">
        <v>0</v>
      </c>
      <c r="W20" s="307">
        <v>1.3</v>
      </c>
      <c r="X20" s="306">
        <v>281.9</v>
      </c>
      <c r="Y20" s="307">
        <v>73</v>
      </c>
      <c r="Z20" s="305">
        <v>5478.5</v>
      </c>
      <c r="AA20" s="306">
        <v>0</v>
      </c>
      <c r="AB20" s="307">
        <v>0.6</v>
      </c>
      <c r="AC20" s="306">
        <v>233.7</v>
      </c>
      <c r="AD20" s="307">
        <v>71.1</v>
      </c>
      <c r="AE20" s="305">
        <v>5782.7</v>
      </c>
    </row>
    <row r="21" spans="2:31" ht="12.75">
      <c r="B21" s="304"/>
      <c r="C21" s="293"/>
      <c r="D21" s="298"/>
      <c r="E21" s="293" t="s">
        <v>387</v>
      </c>
      <c r="F21" s="305">
        <v>16295</v>
      </c>
      <c r="G21" s="306">
        <v>0</v>
      </c>
      <c r="H21" s="307">
        <v>0</v>
      </c>
      <c r="I21" s="306">
        <v>0</v>
      </c>
      <c r="J21" s="309">
        <v>0</v>
      </c>
      <c r="K21" s="305">
        <v>16295</v>
      </c>
      <c r="L21" s="306">
        <v>0</v>
      </c>
      <c r="M21" s="307">
        <v>30</v>
      </c>
      <c r="N21" s="306">
        <v>0</v>
      </c>
      <c r="O21" s="309">
        <v>0</v>
      </c>
      <c r="P21" s="305">
        <v>16265</v>
      </c>
      <c r="Q21" s="306">
        <v>0</v>
      </c>
      <c r="R21" s="307">
        <v>44</v>
      </c>
      <c r="S21" s="306">
        <v>0</v>
      </c>
      <c r="T21" s="309">
        <v>0</v>
      </c>
      <c r="U21" s="308">
        <v>16221</v>
      </c>
      <c r="V21" s="306">
        <v>0</v>
      </c>
      <c r="W21" s="307">
        <v>3.9</v>
      </c>
      <c r="X21" s="306">
        <v>0</v>
      </c>
      <c r="Y21" s="307">
        <v>0</v>
      </c>
      <c r="Z21" s="305">
        <v>16217.1</v>
      </c>
      <c r="AA21" s="306">
        <v>0</v>
      </c>
      <c r="AB21" s="307">
        <v>1.6</v>
      </c>
      <c r="AC21" s="306">
        <v>0</v>
      </c>
      <c r="AD21" s="307">
        <v>0</v>
      </c>
      <c r="AE21" s="305">
        <v>16215.5</v>
      </c>
    </row>
    <row r="22" spans="2:31" ht="12.75">
      <c r="B22" s="304"/>
      <c r="C22" s="293"/>
      <c r="D22" s="298"/>
      <c r="E22" s="293" t="s">
        <v>388</v>
      </c>
      <c r="F22" s="305">
        <v>2131108</v>
      </c>
      <c r="G22" s="306">
        <v>55</v>
      </c>
      <c r="H22" s="307">
        <v>680</v>
      </c>
      <c r="I22" s="306">
        <v>27797</v>
      </c>
      <c r="J22" s="309">
        <v>680</v>
      </c>
      <c r="K22" s="305">
        <v>2158850</v>
      </c>
      <c r="L22" s="306">
        <v>0</v>
      </c>
      <c r="M22" s="307">
        <v>1068</v>
      </c>
      <c r="N22" s="306">
        <v>23048</v>
      </c>
      <c r="O22" s="309">
        <v>1486</v>
      </c>
      <c r="P22" s="305">
        <v>2182316</v>
      </c>
      <c r="Q22" s="306">
        <v>0</v>
      </c>
      <c r="R22" s="307">
        <v>10699</v>
      </c>
      <c r="S22" s="306">
        <v>18463</v>
      </c>
      <c r="T22" s="309">
        <v>1653</v>
      </c>
      <c r="U22" s="308">
        <v>2191733</v>
      </c>
      <c r="V22" s="306">
        <v>0</v>
      </c>
      <c r="W22" s="307">
        <v>107</v>
      </c>
      <c r="X22" s="306">
        <v>17278</v>
      </c>
      <c r="Y22" s="307">
        <v>1811</v>
      </c>
      <c r="Z22" s="305">
        <v>2210715</v>
      </c>
      <c r="AA22" s="306">
        <v>0</v>
      </c>
      <c r="AB22" s="307">
        <v>40</v>
      </c>
      <c r="AC22" s="306">
        <v>14289</v>
      </c>
      <c r="AD22" s="307">
        <v>1032</v>
      </c>
      <c r="AE22" s="305">
        <v>2225996</v>
      </c>
    </row>
    <row r="23" spans="2:31" ht="12.75">
      <c r="B23" s="304"/>
      <c r="C23" s="293"/>
      <c r="D23" s="293"/>
      <c r="E23" s="293"/>
      <c r="F23" s="310"/>
      <c r="G23" s="311"/>
      <c r="H23" s="312"/>
      <c r="I23" s="311"/>
      <c r="J23" s="313"/>
      <c r="K23" s="310"/>
      <c r="L23" s="311"/>
      <c r="M23" s="312"/>
      <c r="N23" s="311"/>
      <c r="O23" s="313"/>
      <c r="P23" s="310"/>
      <c r="Q23" s="311"/>
      <c r="R23" s="312"/>
      <c r="S23" s="311"/>
      <c r="T23" s="313"/>
      <c r="U23" s="314"/>
      <c r="V23" s="311"/>
      <c r="W23" s="312"/>
      <c r="X23" s="311"/>
      <c r="Y23" s="312"/>
      <c r="Z23" s="310"/>
      <c r="AA23" s="311"/>
      <c r="AB23" s="312"/>
      <c r="AC23" s="311"/>
      <c r="AD23" s="312"/>
      <c r="AE23" s="310"/>
    </row>
    <row r="24" spans="2:31" ht="12.75">
      <c r="B24" s="304"/>
      <c r="C24" s="293"/>
      <c r="D24" s="298" t="s">
        <v>391</v>
      </c>
      <c r="E24" s="293"/>
      <c r="F24" s="310"/>
      <c r="G24" s="311"/>
      <c r="H24" s="312"/>
      <c r="I24" s="311"/>
      <c r="J24" s="313"/>
      <c r="K24" s="310"/>
      <c r="L24" s="311"/>
      <c r="M24" s="312"/>
      <c r="N24" s="311"/>
      <c r="O24" s="313"/>
      <c r="P24" s="310"/>
      <c r="Q24" s="311"/>
      <c r="R24" s="312"/>
      <c r="S24" s="311"/>
      <c r="T24" s="313"/>
      <c r="U24" s="314"/>
      <c r="V24" s="311"/>
      <c r="W24" s="312"/>
      <c r="X24" s="311"/>
      <c r="Y24" s="312"/>
      <c r="Z24" s="310"/>
      <c r="AA24" s="311"/>
      <c r="AB24" s="312"/>
      <c r="AC24" s="311"/>
      <c r="AD24" s="312"/>
      <c r="AE24" s="310"/>
    </row>
    <row r="25" spans="2:31" ht="12.75">
      <c r="B25" s="304"/>
      <c r="C25" s="293"/>
      <c r="D25" s="298"/>
      <c r="E25" s="293" t="s">
        <v>392</v>
      </c>
      <c r="F25" s="305">
        <v>4508</v>
      </c>
      <c r="G25" s="306">
        <v>43</v>
      </c>
      <c r="H25" s="307">
        <v>13</v>
      </c>
      <c r="I25" s="306">
        <v>230</v>
      </c>
      <c r="J25" s="309">
        <v>13</v>
      </c>
      <c r="K25" s="305">
        <v>4695</v>
      </c>
      <c r="L25" s="306">
        <v>0</v>
      </c>
      <c r="M25" s="307">
        <v>73</v>
      </c>
      <c r="N25" s="306">
        <v>417</v>
      </c>
      <c r="O25" s="309">
        <v>81</v>
      </c>
      <c r="P25" s="305">
        <v>5120</v>
      </c>
      <c r="Q25" s="306">
        <v>0</v>
      </c>
      <c r="R25" s="307">
        <v>65</v>
      </c>
      <c r="S25" s="306">
        <v>134</v>
      </c>
      <c r="T25" s="309">
        <v>87</v>
      </c>
      <c r="U25" s="308">
        <v>5276</v>
      </c>
      <c r="V25" s="306">
        <v>0</v>
      </c>
      <c r="W25" s="307">
        <v>253</v>
      </c>
      <c r="X25" s="306">
        <v>125</v>
      </c>
      <c r="Y25" s="307">
        <v>138</v>
      </c>
      <c r="Z25" s="305">
        <v>5286</v>
      </c>
      <c r="AA25" s="306">
        <v>0</v>
      </c>
      <c r="AB25" s="307">
        <v>278</v>
      </c>
      <c r="AC25" s="306">
        <v>105</v>
      </c>
      <c r="AD25" s="307">
        <v>125</v>
      </c>
      <c r="AE25" s="305">
        <v>5238</v>
      </c>
    </row>
    <row r="26" spans="2:31" ht="12.75">
      <c r="B26" s="304"/>
      <c r="C26" s="293"/>
      <c r="D26" s="298"/>
      <c r="E26" s="293" t="s">
        <v>393</v>
      </c>
      <c r="F26" s="305">
        <v>10805</v>
      </c>
      <c r="G26" s="306">
        <v>0</v>
      </c>
      <c r="H26" s="307">
        <v>0</v>
      </c>
      <c r="I26" s="306">
        <v>0</v>
      </c>
      <c r="J26" s="309">
        <v>0</v>
      </c>
      <c r="K26" s="305">
        <v>10805</v>
      </c>
      <c r="L26" s="306">
        <v>111</v>
      </c>
      <c r="M26" s="307">
        <v>0</v>
      </c>
      <c r="N26" s="306">
        <v>0</v>
      </c>
      <c r="O26" s="309">
        <v>0</v>
      </c>
      <c r="P26" s="305">
        <v>10694</v>
      </c>
      <c r="Q26" s="306">
        <v>201</v>
      </c>
      <c r="R26" s="307">
        <v>54</v>
      </c>
      <c r="S26" s="306">
        <v>100</v>
      </c>
      <c r="T26" s="309">
        <v>54</v>
      </c>
      <c r="U26" s="308">
        <v>10593</v>
      </c>
      <c r="V26" s="306">
        <v>188</v>
      </c>
      <c r="W26" s="307">
        <v>0</v>
      </c>
      <c r="X26" s="306">
        <v>94</v>
      </c>
      <c r="Y26" s="307">
        <v>0</v>
      </c>
      <c r="Z26" s="305">
        <v>10499</v>
      </c>
      <c r="AA26" s="306">
        <v>156</v>
      </c>
      <c r="AB26" s="307">
        <v>0</v>
      </c>
      <c r="AC26" s="306">
        <v>77</v>
      </c>
      <c r="AD26" s="307">
        <v>0</v>
      </c>
      <c r="AE26" s="305">
        <v>10420</v>
      </c>
    </row>
    <row r="27" spans="2:31" ht="12.75">
      <c r="B27" s="304"/>
      <c r="C27" s="293"/>
      <c r="D27" s="298"/>
      <c r="E27" s="293" t="s">
        <v>276</v>
      </c>
      <c r="F27" s="305">
        <v>0</v>
      </c>
      <c r="G27" s="306">
        <v>0</v>
      </c>
      <c r="H27" s="307">
        <v>0</v>
      </c>
      <c r="I27" s="306">
        <v>0</v>
      </c>
      <c r="J27" s="309">
        <v>0</v>
      </c>
      <c r="K27" s="305">
        <v>0</v>
      </c>
      <c r="L27" s="306">
        <v>0</v>
      </c>
      <c r="M27" s="307">
        <v>0</v>
      </c>
      <c r="N27" s="306">
        <v>0</v>
      </c>
      <c r="O27" s="309">
        <v>0</v>
      </c>
      <c r="P27" s="305">
        <v>0</v>
      </c>
      <c r="Q27" s="306">
        <v>0</v>
      </c>
      <c r="R27" s="307">
        <v>0</v>
      </c>
      <c r="S27" s="306">
        <v>0</v>
      </c>
      <c r="T27" s="309">
        <v>0</v>
      </c>
      <c r="U27" s="308">
        <v>0</v>
      </c>
      <c r="V27" s="306">
        <v>0</v>
      </c>
      <c r="W27" s="307">
        <v>0</v>
      </c>
      <c r="X27" s="306">
        <v>0</v>
      </c>
      <c r="Y27" s="307">
        <v>0</v>
      </c>
      <c r="Z27" s="305">
        <v>0</v>
      </c>
      <c r="AA27" s="306">
        <v>0</v>
      </c>
      <c r="AB27" s="307">
        <v>0</v>
      </c>
      <c r="AC27" s="306">
        <v>0</v>
      </c>
      <c r="AD27" s="307">
        <v>0</v>
      </c>
      <c r="AE27" s="305">
        <v>0</v>
      </c>
    </row>
    <row r="28" spans="2:31" ht="12.75">
      <c r="B28" s="304"/>
      <c r="C28" s="293"/>
      <c r="D28" s="298"/>
      <c r="E28" s="293" t="s">
        <v>277</v>
      </c>
      <c r="F28" s="305">
        <v>20522</v>
      </c>
      <c r="G28" s="306">
        <v>0</v>
      </c>
      <c r="H28" s="307">
        <v>275</v>
      </c>
      <c r="I28" s="306">
        <v>341</v>
      </c>
      <c r="J28" s="309">
        <v>281</v>
      </c>
      <c r="K28" s="305">
        <v>20869</v>
      </c>
      <c r="L28" s="306">
        <v>0</v>
      </c>
      <c r="M28" s="307">
        <v>576</v>
      </c>
      <c r="N28" s="306">
        <v>124</v>
      </c>
      <c r="O28" s="309">
        <v>465</v>
      </c>
      <c r="P28" s="305">
        <v>20882</v>
      </c>
      <c r="Q28" s="306">
        <v>0</v>
      </c>
      <c r="R28" s="307">
        <v>713</v>
      </c>
      <c r="S28" s="306">
        <v>155</v>
      </c>
      <c r="T28" s="309">
        <v>582</v>
      </c>
      <c r="U28" s="308">
        <v>20906</v>
      </c>
      <c r="V28" s="306">
        <v>0</v>
      </c>
      <c r="W28" s="307">
        <v>295</v>
      </c>
      <c r="X28" s="306">
        <v>145</v>
      </c>
      <c r="Y28" s="307">
        <v>398.7</v>
      </c>
      <c r="Z28" s="305">
        <v>21154.7</v>
      </c>
      <c r="AA28" s="306">
        <v>0</v>
      </c>
      <c r="AB28" s="307">
        <v>296</v>
      </c>
      <c r="AC28" s="306">
        <v>121</v>
      </c>
      <c r="AD28" s="307">
        <v>418.5</v>
      </c>
      <c r="AE28" s="305">
        <v>21398.2</v>
      </c>
    </row>
    <row r="29" spans="2:31" ht="12.75">
      <c r="B29" s="304"/>
      <c r="C29" s="293"/>
      <c r="D29" s="298"/>
      <c r="E29" s="293" t="s">
        <v>544</v>
      </c>
      <c r="F29" s="305">
        <v>34104</v>
      </c>
      <c r="G29" s="306">
        <v>0</v>
      </c>
      <c r="H29" s="307">
        <v>0</v>
      </c>
      <c r="I29" s="306">
        <v>31</v>
      </c>
      <c r="J29" s="309">
        <v>0</v>
      </c>
      <c r="K29" s="305">
        <v>34135</v>
      </c>
      <c r="L29" s="306">
        <v>0</v>
      </c>
      <c r="M29" s="307">
        <v>63</v>
      </c>
      <c r="N29" s="306">
        <v>429</v>
      </c>
      <c r="O29" s="309">
        <v>0</v>
      </c>
      <c r="P29" s="305">
        <v>34501</v>
      </c>
      <c r="Q29" s="306">
        <v>590</v>
      </c>
      <c r="R29" s="307">
        <v>117</v>
      </c>
      <c r="S29" s="306">
        <v>444</v>
      </c>
      <c r="T29" s="309">
        <v>117</v>
      </c>
      <c r="U29" s="308">
        <v>34355</v>
      </c>
      <c r="V29" s="306">
        <v>552</v>
      </c>
      <c r="W29" s="307">
        <v>0</v>
      </c>
      <c r="X29" s="306">
        <v>415</v>
      </c>
      <c r="Y29" s="307">
        <v>0</v>
      </c>
      <c r="Z29" s="305">
        <v>34218</v>
      </c>
      <c r="AA29" s="306">
        <v>458</v>
      </c>
      <c r="AB29" s="307">
        <v>0</v>
      </c>
      <c r="AC29" s="306">
        <v>344</v>
      </c>
      <c r="AD29" s="307">
        <v>0</v>
      </c>
      <c r="AE29" s="305">
        <v>34104</v>
      </c>
    </row>
    <row r="30" spans="2:31" ht="12.75">
      <c r="B30" s="304"/>
      <c r="C30" s="293"/>
      <c r="D30" s="298"/>
      <c r="E30" s="293" t="s">
        <v>545</v>
      </c>
      <c r="F30" s="305">
        <v>0</v>
      </c>
      <c r="G30" s="306">
        <v>0</v>
      </c>
      <c r="H30" s="307">
        <v>0</v>
      </c>
      <c r="I30" s="306">
        <v>0</v>
      </c>
      <c r="J30" s="309">
        <v>0</v>
      </c>
      <c r="K30" s="305">
        <v>0</v>
      </c>
      <c r="L30" s="306">
        <v>0</v>
      </c>
      <c r="M30" s="307">
        <v>0</v>
      </c>
      <c r="N30" s="306">
        <v>0</v>
      </c>
      <c r="O30" s="309">
        <v>0</v>
      </c>
      <c r="P30" s="305">
        <v>0</v>
      </c>
      <c r="Q30" s="306">
        <v>0</v>
      </c>
      <c r="R30" s="307">
        <v>0</v>
      </c>
      <c r="S30" s="306">
        <v>0</v>
      </c>
      <c r="T30" s="309">
        <v>0</v>
      </c>
      <c r="U30" s="308">
        <v>0</v>
      </c>
      <c r="V30" s="306">
        <v>0</v>
      </c>
      <c r="W30" s="307">
        <v>0</v>
      </c>
      <c r="X30" s="306">
        <v>0</v>
      </c>
      <c r="Y30" s="307">
        <v>0</v>
      </c>
      <c r="Z30" s="305">
        <v>0</v>
      </c>
      <c r="AA30" s="306">
        <v>0</v>
      </c>
      <c r="AB30" s="307">
        <v>0</v>
      </c>
      <c r="AC30" s="306">
        <v>0</v>
      </c>
      <c r="AD30" s="307">
        <v>0</v>
      </c>
      <c r="AE30" s="305">
        <v>0</v>
      </c>
    </row>
    <row r="31" spans="2:31" ht="13.5" thickBot="1">
      <c r="B31" s="289"/>
      <c r="C31" s="290"/>
      <c r="D31" s="290"/>
      <c r="E31" s="290"/>
      <c r="F31" s="315"/>
      <c r="G31" s="316"/>
      <c r="H31" s="317"/>
      <c r="I31" s="316"/>
      <c r="J31" s="318"/>
      <c r="K31" s="319"/>
      <c r="L31" s="316"/>
      <c r="M31" s="317"/>
      <c r="N31" s="316"/>
      <c r="O31" s="318"/>
      <c r="P31" s="319"/>
      <c r="Q31" s="316"/>
      <c r="R31" s="317"/>
      <c r="S31" s="316"/>
      <c r="T31" s="318"/>
      <c r="U31" s="320"/>
      <c r="V31" s="316"/>
      <c r="W31" s="317"/>
      <c r="X31" s="316"/>
      <c r="Y31" s="317"/>
      <c r="Z31" s="319"/>
      <c r="AA31" s="316"/>
      <c r="AB31" s="317"/>
      <c r="AC31" s="316"/>
      <c r="AD31" s="317"/>
      <c r="AE31" s="319"/>
    </row>
    <row r="32" spans="2:31" ht="12.75">
      <c r="B32" s="321"/>
      <c r="C32" s="322" t="s">
        <v>546</v>
      </c>
      <c r="D32" s="322"/>
      <c r="E32" s="323"/>
      <c r="F32" s="310"/>
      <c r="G32" s="311"/>
      <c r="H32" s="312"/>
      <c r="I32" s="311"/>
      <c r="J32" s="313"/>
      <c r="K32" s="310"/>
      <c r="L32" s="311"/>
      <c r="M32" s="312"/>
      <c r="N32" s="311"/>
      <c r="O32" s="313"/>
      <c r="P32" s="310"/>
      <c r="Q32" s="311"/>
      <c r="R32" s="312"/>
      <c r="S32" s="311"/>
      <c r="T32" s="313"/>
      <c r="U32" s="314"/>
      <c r="V32" s="311"/>
      <c r="W32" s="312"/>
      <c r="X32" s="311"/>
      <c r="Y32" s="312"/>
      <c r="Z32" s="310"/>
      <c r="AA32" s="311"/>
      <c r="AB32" s="312"/>
      <c r="AC32" s="311"/>
      <c r="AD32" s="312"/>
      <c r="AE32" s="310"/>
    </row>
    <row r="33" spans="2:31" ht="12.75">
      <c r="B33" s="304"/>
      <c r="C33" s="293"/>
      <c r="D33" s="298" t="s">
        <v>320</v>
      </c>
      <c r="E33" s="293"/>
      <c r="F33" s="310"/>
      <c r="G33" s="311"/>
      <c r="H33" s="312"/>
      <c r="I33" s="311"/>
      <c r="J33" s="313"/>
      <c r="K33" s="310"/>
      <c r="L33" s="311"/>
      <c r="M33" s="312"/>
      <c r="N33" s="311"/>
      <c r="O33" s="313"/>
      <c r="P33" s="310"/>
      <c r="Q33" s="311"/>
      <c r="R33" s="312"/>
      <c r="S33" s="311"/>
      <c r="T33" s="313"/>
      <c r="U33" s="314"/>
      <c r="V33" s="311"/>
      <c r="W33" s="312"/>
      <c r="X33" s="311"/>
      <c r="Y33" s="312"/>
      <c r="Z33" s="310"/>
      <c r="AA33" s="311"/>
      <c r="AB33" s="312"/>
      <c r="AC33" s="311"/>
      <c r="AD33" s="312"/>
      <c r="AE33" s="310"/>
    </row>
    <row r="34" spans="2:31" ht="12.75">
      <c r="B34" s="304"/>
      <c r="C34" s="293"/>
      <c r="D34" s="298"/>
      <c r="E34" s="293" t="s">
        <v>684</v>
      </c>
      <c r="F34" s="305">
        <v>14594</v>
      </c>
      <c r="G34" s="306">
        <v>2</v>
      </c>
      <c r="H34" s="307">
        <v>14</v>
      </c>
      <c r="I34" s="306">
        <v>13</v>
      </c>
      <c r="J34" s="309">
        <v>14</v>
      </c>
      <c r="K34" s="305">
        <v>14605</v>
      </c>
      <c r="L34" s="306">
        <v>68</v>
      </c>
      <c r="M34" s="307">
        <v>7</v>
      </c>
      <c r="N34" s="306">
        <v>43</v>
      </c>
      <c r="O34" s="309">
        <v>7</v>
      </c>
      <c r="P34" s="305">
        <v>14580</v>
      </c>
      <c r="Q34" s="306">
        <v>46</v>
      </c>
      <c r="R34" s="307">
        <v>252</v>
      </c>
      <c r="S34" s="306">
        <v>4</v>
      </c>
      <c r="T34" s="309">
        <v>252</v>
      </c>
      <c r="U34" s="308">
        <v>14538</v>
      </c>
      <c r="V34" s="306">
        <v>17.3</v>
      </c>
      <c r="W34" s="307">
        <v>250.6</v>
      </c>
      <c r="X34" s="306">
        <v>1.2</v>
      </c>
      <c r="Y34" s="307">
        <v>220.1</v>
      </c>
      <c r="Z34" s="305">
        <v>14491.4</v>
      </c>
      <c r="AA34" s="306">
        <v>30.9</v>
      </c>
      <c r="AB34" s="307">
        <v>270</v>
      </c>
      <c r="AC34" s="306">
        <v>1.2</v>
      </c>
      <c r="AD34" s="307">
        <v>238</v>
      </c>
      <c r="AE34" s="305">
        <v>14429.7</v>
      </c>
    </row>
    <row r="35" spans="2:31" ht="12.75">
      <c r="B35" s="304"/>
      <c r="C35" s="293"/>
      <c r="D35" s="298"/>
      <c r="E35" s="293" t="s">
        <v>685</v>
      </c>
      <c r="F35" s="305">
        <v>0</v>
      </c>
      <c r="G35" s="306">
        <v>0</v>
      </c>
      <c r="H35" s="307">
        <v>0</v>
      </c>
      <c r="I35" s="306">
        <v>0</v>
      </c>
      <c r="J35" s="309">
        <v>0</v>
      </c>
      <c r="K35" s="305">
        <v>0</v>
      </c>
      <c r="L35" s="306">
        <v>0</v>
      </c>
      <c r="M35" s="307">
        <v>0</v>
      </c>
      <c r="N35" s="306">
        <v>0</v>
      </c>
      <c r="O35" s="309">
        <v>0</v>
      </c>
      <c r="P35" s="305">
        <v>0</v>
      </c>
      <c r="Q35" s="306">
        <v>0</v>
      </c>
      <c r="R35" s="307">
        <v>0</v>
      </c>
      <c r="S35" s="306">
        <v>0</v>
      </c>
      <c r="T35" s="309">
        <v>0</v>
      </c>
      <c r="U35" s="308">
        <v>0</v>
      </c>
      <c r="V35" s="306">
        <v>0</v>
      </c>
      <c r="W35" s="307">
        <v>0</v>
      </c>
      <c r="X35" s="306">
        <v>0</v>
      </c>
      <c r="Y35" s="307">
        <v>0</v>
      </c>
      <c r="Z35" s="305">
        <v>0</v>
      </c>
      <c r="AA35" s="306">
        <v>0</v>
      </c>
      <c r="AB35" s="307">
        <v>0</v>
      </c>
      <c r="AC35" s="306">
        <v>0</v>
      </c>
      <c r="AD35" s="307">
        <v>0</v>
      </c>
      <c r="AE35" s="305">
        <v>0</v>
      </c>
    </row>
    <row r="36" spans="2:31" ht="12.75">
      <c r="B36" s="304"/>
      <c r="C36" s="293"/>
      <c r="D36" s="293"/>
      <c r="E36" s="293" t="s">
        <v>686</v>
      </c>
      <c r="F36" s="305">
        <v>0</v>
      </c>
      <c r="G36" s="306">
        <v>0</v>
      </c>
      <c r="H36" s="307">
        <v>0</v>
      </c>
      <c r="I36" s="306">
        <v>0</v>
      </c>
      <c r="J36" s="309">
        <v>0</v>
      </c>
      <c r="K36" s="305">
        <v>0</v>
      </c>
      <c r="L36" s="306">
        <v>0</v>
      </c>
      <c r="M36" s="307">
        <v>0</v>
      </c>
      <c r="N36" s="306">
        <v>0</v>
      </c>
      <c r="O36" s="309">
        <v>0</v>
      </c>
      <c r="P36" s="305">
        <v>0</v>
      </c>
      <c r="Q36" s="306">
        <v>0</v>
      </c>
      <c r="R36" s="307">
        <v>0</v>
      </c>
      <c r="S36" s="306">
        <v>0</v>
      </c>
      <c r="T36" s="309">
        <v>0</v>
      </c>
      <c r="U36" s="308">
        <v>0</v>
      </c>
      <c r="V36" s="306">
        <v>0</v>
      </c>
      <c r="W36" s="307">
        <v>0</v>
      </c>
      <c r="X36" s="306">
        <v>0</v>
      </c>
      <c r="Y36" s="307">
        <v>0</v>
      </c>
      <c r="Z36" s="305">
        <v>0</v>
      </c>
      <c r="AA36" s="306">
        <v>0</v>
      </c>
      <c r="AB36" s="307">
        <v>0</v>
      </c>
      <c r="AC36" s="306">
        <v>0</v>
      </c>
      <c r="AD36" s="307">
        <v>0</v>
      </c>
      <c r="AE36" s="305">
        <v>0</v>
      </c>
    </row>
    <row r="37" spans="2:31" ht="12.75">
      <c r="B37" s="304"/>
      <c r="C37" s="293"/>
      <c r="D37" s="293"/>
      <c r="E37" s="293" t="s">
        <v>269</v>
      </c>
      <c r="F37" s="305">
        <v>0</v>
      </c>
      <c r="G37" s="306">
        <v>0</v>
      </c>
      <c r="H37" s="307">
        <v>0</v>
      </c>
      <c r="I37" s="306">
        <v>0</v>
      </c>
      <c r="J37" s="309">
        <v>0</v>
      </c>
      <c r="K37" s="305">
        <v>0</v>
      </c>
      <c r="L37" s="306">
        <v>0</v>
      </c>
      <c r="M37" s="307">
        <v>0</v>
      </c>
      <c r="N37" s="306">
        <v>0</v>
      </c>
      <c r="O37" s="309">
        <v>0</v>
      </c>
      <c r="P37" s="305">
        <v>0</v>
      </c>
      <c r="Q37" s="306">
        <v>0</v>
      </c>
      <c r="R37" s="307">
        <v>0</v>
      </c>
      <c r="S37" s="306">
        <v>0</v>
      </c>
      <c r="T37" s="309">
        <v>0</v>
      </c>
      <c r="U37" s="308">
        <v>0</v>
      </c>
      <c r="V37" s="306">
        <v>0</v>
      </c>
      <c r="W37" s="307">
        <v>0</v>
      </c>
      <c r="X37" s="306">
        <v>0</v>
      </c>
      <c r="Y37" s="307">
        <v>0</v>
      </c>
      <c r="Z37" s="305">
        <v>0</v>
      </c>
      <c r="AA37" s="306">
        <v>0</v>
      </c>
      <c r="AB37" s="307">
        <v>0</v>
      </c>
      <c r="AC37" s="306">
        <v>0</v>
      </c>
      <c r="AD37" s="307">
        <v>0</v>
      </c>
      <c r="AE37" s="305">
        <v>0</v>
      </c>
    </row>
    <row r="38" spans="2:31" ht="12.75">
      <c r="B38" s="304"/>
      <c r="C38" s="293"/>
      <c r="D38" s="293"/>
      <c r="E38" s="293"/>
      <c r="F38" s="310"/>
      <c r="G38" s="311"/>
      <c r="H38" s="312"/>
      <c r="I38" s="311"/>
      <c r="J38" s="313"/>
      <c r="K38" s="310"/>
      <c r="L38" s="311"/>
      <c r="M38" s="312"/>
      <c r="N38" s="311"/>
      <c r="O38" s="313"/>
      <c r="P38" s="310"/>
      <c r="Q38" s="311"/>
      <c r="R38" s="312"/>
      <c r="S38" s="311"/>
      <c r="T38" s="313"/>
      <c r="U38" s="314"/>
      <c r="V38" s="311"/>
      <c r="W38" s="312"/>
      <c r="X38" s="311"/>
      <c r="Y38" s="312"/>
      <c r="Z38" s="310"/>
      <c r="AA38" s="311"/>
      <c r="AB38" s="312"/>
      <c r="AC38" s="311"/>
      <c r="AD38" s="312"/>
      <c r="AE38" s="310"/>
    </row>
    <row r="39" spans="2:31" ht="12.75">
      <c r="B39" s="304"/>
      <c r="C39" s="293"/>
      <c r="D39" s="298" t="s">
        <v>520</v>
      </c>
      <c r="E39" s="293"/>
      <c r="F39" s="310"/>
      <c r="G39" s="311"/>
      <c r="H39" s="312"/>
      <c r="I39" s="311"/>
      <c r="J39" s="313"/>
      <c r="K39" s="310"/>
      <c r="L39" s="311"/>
      <c r="M39" s="312"/>
      <c r="N39" s="311"/>
      <c r="O39" s="313"/>
      <c r="P39" s="310"/>
      <c r="Q39" s="311"/>
      <c r="R39" s="312"/>
      <c r="S39" s="311"/>
      <c r="T39" s="313"/>
      <c r="U39" s="314"/>
      <c r="V39" s="311"/>
      <c r="W39" s="312"/>
      <c r="X39" s="311"/>
      <c r="Y39" s="312"/>
      <c r="Z39" s="310"/>
      <c r="AA39" s="311"/>
      <c r="AB39" s="312"/>
      <c r="AC39" s="311"/>
      <c r="AD39" s="312"/>
      <c r="AE39" s="310"/>
    </row>
    <row r="40" spans="2:31" ht="12.75">
      <c r="B40" s="304"/>
      <c r="C40" s="293"/>
      <c r="D40" s="323"/>
      <c r="E40" s="293" t="s">
        <v>417</v>
      </c>
      <c r="F40" s="305">
        <v>209466</v>
      </c>
      <c r="G40" s="306">
        <v>23</v>
      </c>
      <c r="H40" s="307">
        <v>137</v>
      </c>
      <c r="I40" s="306">
        <v>148</v>
      </c>
      <c r="J40" s="309">
        <v>137</v>
      </c>
      <c r="K40" s="305">
        <v>209591</v>
      </c>
      <c r="L40" s="306">
        <v>808</v>
      </c>
      <c r="M40" s="307">
        <v>94</v>
      </c>
      <c r="N40" s="306">
        <v>573</v>
      </c>
      <c r="O40" s="309">
        <v>94</v>
      </c>
      <c r="P40" s="305">
        <v>209356</v>
      </c>
      <c r="Q40" s="306">
        <v>1577</v>
      </c>
      <c r="R40" s="307">
        <v>660</v>
      </c>
      <c r="S40" s="306">
        <v>991</v>
      </c>
      <c r="T40" s="309">
        <v>660</v>
      </c>
      <c r="U40" s="308">
        <v>208770</v>
      </c>
      <c r="V40" s="306">
        <v>592</v>
      </c>
      <c r="W40" s="307">
        <v>1779.2</v>
      </c>
      <c r="X40" s="306">
        <v>402</v>
      </c>
      <c r="Y40" s="307">
        <v>1474.8</v>
      </c>
      <c r="Z40" s="305">
        <v>208275.6</v>
      </c>
      <c r="AA40" s="306">
        <v>1060</v>
      </c>
      <c r="AB40" s="307">
        <v>2050.3</v>
      </c>
      <c r="AC40" s="306">
        <v>835</v>
      </c>
      <c r="AD40" s="307">
        <v>1730.7</v>
      </c>
      <c r="AE40" s="305">
        <v>207731</v>
      </c>
    </row>
    <row r="41" spans="2:31" ht="12.75">
      <c r="B41" s="304"/>
      <c r="C41" s="293"/>
      <c r="D41" s="298"/>
      <c r="E41" s="293" t="s">
        <v>418</v>
      </c>
      <c r="F41" s="305">
        <v>0</v>
      </c>
      <c r="G41" s="306">
        <v>0</v>
      </c>
      <c r="H41" s="307">
        <v>0</v>
      </c>
      <c r="I41" s="306">
        <v>0</v>
      </c>
      <c r="J41" s="309">
        <v>0</v>
      </c>
      <c r="K41" s="305">
        <v>0</v>
      </c>
      <c r="L41" s="306">
        <v>0</v>
      </c>
      <c r="M41" s="307">
        <v>0</v>
      </c>
      <c r="N41" s="306">
        <v>0</v>
      </c>
      <c r="O41" s="309">
        <v>0</v>
      </c>
      <c r="P41" s="305">
        <v>0</v>
      </c>
      <c r="Q41" s="306">
        <v>0</v>
      </c>
      <c r="R41" s="307">
        <v>0</v>
      </c>
      <c r="S41" s="306">
        <v>0</v>
      </c>
      <c r="T41" s="309">
        <v>0</v>
      </c>
      <c r="U41" s="308">
        <v>0</v>
      </c>
      <c r="V41" s="306">
        <v>0</v>
      </c>
      <c r="W41" s="307">
        <v>0</v>
      </c>
      <c r="X41" s="306">
        <v>0</v>
      </c>
      <c r="Y41" s="307">
        <v>0</v>
      </c>
      <c r="Z41" s="305">
        <v>0</v>
      </c>
      <c r="AA41" s="306">
        <v>0</v>
      </c>
      <c r="AB41" s="307">
        <v>0</v>
      </c>
      <c r="AC41" s="306">
        <v>0</v>
      </c>
      <c r="AD41" s="307">
        <v>0</v>
      </c>
      <c r="AE41" s="305">
        <v>0</v>
      </c>
    </row>
    <row r="42" spans="2:31" ht="12.75">
      <c r="B42" s="304"/>
      <c r="C42" s="293"/>
      <c r="D42" s="293"/>
      <c r="E42" s="293"/>
      <c r="F42" s="310"/>
      <c r="G42" s="311"/>
      <c r="H42" s="312"/>
      <c r="I42" s="311"/>
      <c r="J42" s="313"/>
      <c r="K42" s="310"/>
      <c r="L42" s="311"/>
      <c r="M42" s="312"/>
      <c r="N42" s="311"/>
      <c r="O42" s="313"/>
      <c r="P42" s="310"/>
      <c r="Q42" s="311"/>
      <c r="R42" s="312"/>
      <c r="S42" s="311"/>
      <c r="T42" s="313"/>
      <c r="U42" s="314"/>
      <c r="V42" s="311"/>
      <c r="W42" s="312"/>
      <c r="X42" s="311"/>
      <c r="Y42" s="312"/>
      <c r="Z42" s="310"/>
      <c r="AA42" s="311"/>
      <c r="AB42" s="312"/>
      <c r="AC42" s="311"/>
      <c r="AD42" s="312"/>
      <c r="AE42" s="310"/>
    </row>
    <row r="43" spans="2:31" ht="12.75">
      <c r="B43" s="304"/>
      <c r="C43" s="293"/>
      <c r="D43" s="298" t="s">
        <v>419</v>
      </c>
      <c r="E43" s="293"/>
      <c r="F43" s="310"/>
      <c r="G43" s="311"/>
      <c r="H43" s="312"/>
      <c r="I43" s="311"/>
      <c r="J43" s="313"/>
      <c r="K43" s="310"/>
      <c r="L43" s="311"/>
      <c r="M43" s="312"/>
      <c r="N43" s="311"/>
      <c r="O43" s="313"/>
      <c r="P43" s="310"/>
      <c r="Q43" s="311"/>
      <c r="R43" s="312"/>
      <c r="S43" s="311"/>
      <c r="T43" s="313"/>
      <c r="U43" s="314"/>
      <c r="V43" s="311"/>
      <c r="W43" s="312"/>
      <c r="X43" s="311"/>
      <c r="Y43" s="312"/>
      <c r="Z43" s="310"/>
      <c r="AA43" s="311"/>
      <c r="AB43" s="312"/>
      <c r="AC43" s="311"/>
      <c r="AD43" s="312"/>
      <c r="AE43" s="310"/>
    </row>
    <row r="44" spans="2:31" ht="12.75">
      <c r="B44" s="304"/>
      <c r="C44" s="293"/>
      <c r="D44" s="298"/>
      <c r="E44" s="293" t="s">
        <v>420</v>
      </c>
      <c r="F44" s="305">
        <v>11712</v>
      </c>
      <c r="G44" s="306">
        <v>0</v>
      </c>
      <c r="H44" s="307">
        <v>1</v>
      </c>
      <c r="I44" s="306">
        <v>91</v>
      </c>
      <c r="J44" s="309">
        <v>19</v>
      </c>
      <c r="K44" s="305">
        <v>11821</v>
      </c>
      <c r="L44" s="306">
        <v>0</v>
      </c>
      <c r="M44" s="307">
        <v>73</v>
      </c>
      <c r="N44" s="306">
        <v>134</v>
      </c>
      <c r="O44" s="309">
        <v>76</v>
      </c>
      <c r="P44" s="305">
        <v>11958</v>
      </c>
      <c r="Q44" s="306">
        <v>0</v>
      </c>
      <c r="R44" s="307">
        <v>5</v>
      </c>
      <c r="S44" s="306">
        <v>89</v>
      </c>
      <c r="T44" s="309">
        <v>43</v>
      </c>
      <c r="U44" s="308">
        <v>12085</v>
      </c>
      <c r="V44" s="306">
        <v>0</v>
      </c>
      <c r="W44" s="307">
        <v>10.7</v>
      </c>
      <c r="X44" s="306">
        <v>32.8</v>
      </c>
      <c r="Y44" s="307">
        <v>77.1</v>
      </c>
      <c r="Z44" s="305">
        <v>12184.2</v>
      </c>
      <c r="AA44" s="306">
        <v>0</v>
      </c>
      <c r="AB44" s="307">
        <v>6.1</v>
      </c>
      <c r="AC44" s="306">
        <v>64.8</v>
      </c>
      <c r="AD44" s="307">
        <v>51.2</v>
      </c>
      <c r="AE44" s="305">
        <v>12294.1</v>
      </c>
    </row>
    <row r="45" spans="2:31" ht="12.75">
      <c r="B45" s="304"/>
      <c r="C45" s="293"/>
      <c r="D45" s="298"/>
      <c r="E45" s="293" t="s">
        <v>421</v>
      </c>
      <c r="F45" s="305">
        <v>0</v>
      </c>
      <c r="G45" s="306">
        <v>0</v>
      </c>
      <c r="H45" s="307">
        <v>0</v>
      </c>
      <c r="I45" s="306">
        <v>0</v>
      </c>
      <c r="J45" s="309">
        <v>0</v>
      </c>
      <c r="K45" s="305">
        <v>0</v>
      </c>
      <c r="L45" s="306">
        <v>0</v>
      </c>
      <c r="M45" s="307">
        <v>0</v>
      </c>
      <c r="N45" s="306">
        <v>0</v>
      </c>
      <c r="O45" s="309">
        <v>0</v>
      </c>
      <c r="P45" s="305">
        <v>0</v>
      </c>
      <c r="Q45" s="306">
        <v>0</v>
      </c>
      <c r="R45" s="307">
        <v>0</v>
      </c>
      <c r="S45" s="306">
        <v>0</v>
      </c>
      <c r="T45" s="309">
        <v>0</v>
      </c>
      <c r="U45" s="308">
        <v>0</v>
      </c>
      <c r="V45" s="306">
        <v>0</v>
      </c>
      <c r="W45" s="307">
        <v>0</v>
      </c>
      <c r="X45" s="306">
        <v>0</v>
      </c>
      <c r="Y45" s="307">
        <v>0</v>
      </c>
      <c r="Z45" s="305">
        <v>0</v>
      </c>
      <c r="AA45" s="306">
        <v>0</v>
      </c>
      <c r="AB45" s="307">
        <v>0</v>
      </c>
      <c r="AC45" s="306">
        <v>0</v>
      </c>
      <c r="AD45" s="307">
        <v>0</v>
      </c>
      <c r="AE45" s="305">
        <v>0</v>
      </c>
    </row>
    <row r="46" spans="2:31" ht="12.75">
      <c r="B46" s="304"/>
      <c r="C46" s="293"/>
      <c r="D46" s="298"/>
      <c r="E46" s="293"/>
      <c r="F46" s="310"/>
      <c r="G46" s="311"/>
      <c r="H46" s="312"/>
      <c r="I46" s="311"/>
      <c r="J46" s="313"/>
      <c r="K46" s="310"/>
      <c r="L46" s="311"/>
      <c r="M46" s="312"/>
      <c r="N46" s="311"/>
      <c r="O46" s="313"/>
      <c r="P46" s="310"/>
      <c r="Q46" s="311"/>
      <c r="R46" s="312"/>
      <c r="S46" s="311"/>
      <c r="T46" s="313"/>
      <c r="U46" s="314"/>
      <c r="V46" s="311"/>
      <c r="W46" s="312"/>
      <c r="X46" s="311"/>
      <c r="Y46" s="312"/>
      <c r="Z46" s="310"/>
      <c r="AA46" s="311"/>
      <c r="AB46" s="312"/>
      <c r="AC46" s="311"/>
      <c r="AD46" s="312"/>
      <c r="AE46" s="310"/>
    </row>
    <row r="47" spans="2:31" ht="12.75">
      <c r="B47" s="304"/>
      <c r="C47" s="293"/>
      <c r="D47" s="298" t="s">
        <v>583</v>
      </c>
      <c r="E47" s="293"/>
      <c r="F47" s="310"/>
      <c r="G47" s="311"/>
      <c r="H47" s="312"/>
      <c r="I47" s="311"/>
      <c r="J47" s="313"/>
      <c r="K47" s="310"/>
      <c r="L47" s="311"/>
      <c r="M47" s="312"/>
      <c r="N47" s="311"/>
      <c r="O47" s="313"/>
      <c r="P47" s="310"/>
      <c r="Q47" s="311"/>
      <c r="R47" s="312"/>
      <c r="S47" s="311"/>
      <c r="T47" s="313"/>
      <c r="U47" s="314"/>
      <c r="V47" s="311"/>
      <c r="W47" s="312"/>
      <c r="X47" s="311"/>
      <c r="Y47" s="312"/>
      <c r="Z47" s="310"/>
      <c r="AA47" s="311"/>
      <c r="AB47" s="312"/>
      <c r="AC47" s="311"/>
      <c r="AD47" s="312"/>
      <c r="AE47" s="310"/>
    </row>
    <row r="48" spans="2:31" ht="12.75">
      <c r="B48" s="304"/>
      <c r="C48" s="293"/>
      <c r="D48" s="298"/>
      <c r="E48" s="293" t="s">
        <v>584</v>
      </c>
      <c r="F48" s="305">
        <v>0</v>
      </c>
      <c r="G48" s="306">
        <v>0</v>
      </c>
      <c r="H48" s="307">
        <v>0</v>
      </c>
      <c r="I48" s="306">
        <v>0</v>
      </c>
      <c r="J48" s="309">
        <v>0</v>
      </c>
      <c r="K48" s="305">
        <v>0</v>
      </c>
      <c r="L48" s="306">
        <v>0</v>
      </c>
      <c r="M48" s="307">
        <v>0</v>
      </c>
      <c r="N48" s="306">
        <v>0</v>
      </c>
      <c r="O48" s="309">
        <v>0</v>
      </c>
      <c r="P48" s="305">
        <v>0</v>
      </c>
      <c r="Q48" s="306">
        <v>0</v>
      </c>
      <c r="R48" s="307">
        <v>0</v>
      </c>
      <c r="S48" s="306">
        <v>0</v>
      </c>
      <c r="T48" s="309">
        <v>0</v>
      </c>
      <c r="U48" s="308">
        <v>0</v>
      </c>
      <c r="V48" s="306">
        <v>0</v>
      </c>
      <c r="W48" s="307">
        <v>0</v>
      </c>
      <c r="X48" s="306">
        <v>0</v>
      </c>
      <c r="Y48" s="307">
        <v>0</v>
      </c>
      <c r="Z48" s="305">
        <v>0</v>
      </c>
      <c r="AA48" s="306">
        <v>0</v>
      </c>
      <c r="AB48" s="307">
        <v>0</v>
      </c>
      <c r="AC48" s="306">
        <v>0</v>
      </c>
      <c r="AD48" s="307">
        <v>0</v>
      </c>
      <c r="AE48" s="305">
        <v>0</v>
      </c>
    </row>
    <row r="49" spans="2:31" ht="12.75">
      <c r="B49" s="304"/>
      <c r="C49" s="293"/>
      <c r="D49" s="298"/>
      <c r="E49" s="293"/>
      <c r="F49" s="310"/>
      <c r="G49" s="311"/>
      <c r="H49" s="312"/>
      <c r="I49" s="311"/>
      <c r="J49" s="313"/>
      <c r="K49" s="310"/>
      <c r="L49" s="311"/>
      <c r="M49" s="312"/>
      <c r="N49" s="311"/>
      <c r="O49" s="313"/>
      <c r="P49" s="310"/>
      <c r="Q49" s="311"/>
      <c r="R49" s="312"/>
      <c r="S49" s="311"/>
      <c r="T49" s="313"/>
      <c r="U49" s="314"/>
      <c r="V49" s="311"/>
      <c r="W49" s="312"/>
      <c r="X49" s="311"/>
      <c r="Y49" s="312"/>
      <c r="Z49" s="310"/>
      <c r="AA49" s="311"/>
      <c r="AB49" s="312"/>
      <c r="AC49" s="311"/>
      <c r="AD49" s="312"/>
      <c r="AE49" s="310"/>
    </row>
    <row r="50" spans="2:31" ht="12.75">
      <c r="B50" s="304"/>
      <c r="C50" s="293"/>
      <c r="D50" s="298" t="s">
        <v>391</v>
      </c>
      <c r="E50" s="293"/>
      <c r="F50" s="310"/>
      <c r="G50" s="311"/>
      <c r="H50" s="312"/>
      <c r="I50" s="311"/>
      <c r="J50" s="313"/>
      <c r="K50" s="310"/>
      <c r="L50" s="311"/>
      <c r="M50" s="312"/>
      <c r="N50" s="311"/>
      <c r="O50" s="313"/>
      <c r="P50" s="310"/>
      <c r="Q50" s="311"/>
      <c r="R50" s="312"/>
      <c r="S50" s="311"/>
      <c r="T50" s="313"/>
      <c r="U50" s="314"/>
      <c r="V50" s="311"/>
      <c r="W50" s="312"/>
      <c r="X50" s="311"/>
      <c r="Y50" s="312"/>
      <c r="Z50" s="310"/>
      <c r="AA50" s="311"/>
      <c r="AB50" s="312"/>
      <c r="AC50" s="311"/>
      <c r="AD50" s="312"/>
      <c r="AE50" s="310"/>
    </row>
    <row r="51" spans="2:31" ht="12.75">
      <c r="B51" s="304"/>
      <c r="C51" s="293"/>
      <c r="D51" s="298"/>
      <c r="E51" s="293" t="s">
        <v>715</v>
      </c>
      <c r="F51" s="305">
        <v>1660</v>
      </c>
      <c r="G51" s="306">
        <v>0</v>
      </c>
      <c r="H51" s="307">
        <v>28</v>
      </c>
      <c r="I51" s="306">
        <v>0</v>
      </c>
      <c r="J51" s="309">
        <v>34</v>
      </c>
      <c r="K51" s="305">
        <v>1666</v>
      </c>
      <c r="L51" s="306">
        <v>0</v>
      </c>
      <c r="M51" s="307">
        <v>4</v>
      </c>
      <c r="N51" s="306">
        <v>1</v>
      </c>
      <c r="O51" s="309">
        <v>44</v>
      </c>
      <c r="P51" s="305">
        <v>1707</v>
      </c>
      <c r="Q51" s="306">
        <v>0</v>
      </c>
      <c r="R51" s="307">
        <v>39</v>
      </c>
      <c r="S51" s="306">
        <v>0</v>
      </c>
      <c r="T51" s="309">
        <v>60</v>
      </c>
      <c r="U51" s="308">
        <v>1728</v>
      </c>
      <c r="V51" s="306">
        <v>0</v>
      </c>
      <c r="W51" s="307">
        <v>0</v>
      </c>
      <c r="X51" s="306">
        <v>0</v>
      </c>
      <c r="Y51" s="307">
        <v>26</v>
      </c>
      <c r="Z51" s="305">
        <v>1754</v>
      </c>
      <c r="AA51" s="306">
        <v>0</v>
      </c>
      <c r="AB51" s="307">
        <v>0</v>
      </c>
      <c r="AC51" s="306">
        <v>0</v>
      </c>
      <c r="AD51" s="307">
        <v>25</v>
      </c>
      <c r="AE51" s="305">
        <v>1779</v>
      </c>
    </row>
    <row r="52" spans="2:31" ht="12.75">
      <c r="B52" s="304"/>
      <c r="C52" s="293"/>
      <c r="D52" s="298"/>
      <c r="E52" s="293" t="s">
        <v>725</v>
      </c>
      <c r="F52" s="305">
        <v>10293</v>
      </c>
      <c r="G52" s="306">
        <v>0</v>
      </c>
      <c r="H52" s="307">
        <v>1</v>
      </c>
      <c r="I52" s="306">
        <v>37</v>
      </c>
      <c r="J52" s="309">
        <v>0</v>
      </c>
      <c r="K52" s="305">
        <v>10329</v>
      </c>
      <c r="L52" s="306">
        <v>0</v>
      </c>
      <c r="M52" s="307">
        <v>228</v>
      </c>
      <c r="N52" s="306">
        <v>3</v>
      </c>
      <c r="O52" s="309">
        <v>11</v>
      </c>
      <c r="P52" s="305">
        <v>10115</v>
      </c>
      <c r="Q52" s="306">
        <v>0</v>
      </c>
      <c r="R52" s="307">
        <v>463</v>
      </c>
      <c r="S52" s="306">
        <v>0</v>
      </c>
      <c r="T52" s="309">
        <v>177</v>
      </c>
      <c r="U52" s="308">
        <v>9829</v>
      </c>
      <c r="V52" s="306">
        <v>0</v>
      </c>
      <c r="W52" s="307">
        <v>8</v>
      </c>
      <c r="X52" s="306">
        <v>0</v>
      </c>
      <c r="Y52" s="307">
        <v>36</v>
      </c>
      <c r="Z52" s="305">
        <v>9857</v>
      </c>
      <c r="AA52" s="306">
        <v>0</v>
      </c>
      <c r="AB52" s="307">
        <v>12</v>
      </c>
      <c r="AC52" s="306">
        <v>0</v>
      </c>
      <c r="AD52" s="307">
        <v>30</v>
      </c>
      <c r="AE52" s="305">
        <v>9875</v>
      </c>
    </row>
    <row r="53" spans="2:31" ht="12.75">
      <c r="B53" s="304"/>
      <c r="C53" s="293"/>
      <c r="D53" s="298"/>
      <c r="E53" s="293" t="s">
        <v>726</v>
      </c>
      <c r="F53" s="305">
        <v>773</v>
      </c>
      <c r="G53" s="306">
        <v>0</v>
      </c>
      <c r="H53" s="307">
        <v>0</v>
      </c>
      <c r="I53" s="306">
        <v>0</v>
      </c>
      <c r="J53" s="309">
        <v>2</v>
      </c>
      <c r="K53" s="305">
        <v>775</v>
      </c>
      <c r="L53" s="306">
        <v>0</v>
      </c>
      <c r="M53" s="307">
        <v>13</v>
      </c>
      <c r="N53" s="306">
        <v>0</v>
      </c>
      <c r="O53" s="309">
        <v>21</v>
      </c>
      <c r="P53" s="305">
        <v>783</v>
      </c>
      <c r="Q53" s="306">
        <v>0</v>
      </c>
      <c r="R53" s="307">
        <v>0</v>
      </c>
      <c r="S53" s="306">
        <v>0</v>
      </c>
      <c r="T53" s="309">
        <v>103</v>
      </c>
      <c r="U53" s="308">
        <v>886</v>
      </c>
      <c r="V53" s="306">
        <v>0</v>
      </c>
      <c r="W53" s="307">
        <v>382</v>
      </c>
      <c r="X53" s="306">
        <v>0</v>
      </c>
      <c r="Y53" s="307">
        <v>412</v>
      </c>
      <c r="Z53" s="305">
        <v>916</v>
      </c>
      <c r="AA53" s="306">
        <v>0</v>
      </c>
      <c r="AB53" s="307">
        <v>235</v>
      </c>
      <c r="AC53" s="306">
        <v>0</v>
      </c>
      <c r="AD53" s="307">
        <v>254</v>
      </c>
      <c r="AE53" s="305">
        <v>935</v>
      </c>
    </row>
    <row r="54" spans="2:31" ht="12.75">
      <c r="B54" s="304"/>
      <c r="C54" s="293"/>
      <c r="D54" s="298"/>
      <c r="E54" s="293" t="s">
        <v>596</v>
      </c>
      <c r="F54" s="305">
        <v>10115</v>
      </c>
      <c r="G54" s="306">
        <v>0</v>
      </c>
      <c r="H54" s="307">
        <v>137</v>
      </c>
      <c r="I54" s="306">
        <v>1</v>
      </c>
      <c r="J54" s="309">
        <v>169</v>
      </c>
      <c r="K54" s="305">
        <v>10148</v>
      </c>
      <c r="L54" s="306">
        <v>0</v>
      </c>
      <c r="M54" s="307">
        <v>353</v>
      </c>
      <c r="N54" s="306">
        <v>1</v>
      </c>
      <c r="O54" s="309">
        <v>0</v>
      </c>
      <c r="P54" s="305">
        <v>9796</v>
      </c>
      <c r="Q54" s="306">
        <v>0</v>
      </c>
      <c r="R54" s="307">
        <v>629</v>
      </c>
      <c r="S54" s="306">
        <v>0</v>
      </c>
      <c r="T54" s="309">
        <v>1</v>
      </c>
      <c r="U54" s="308">
        <v>9168</v>
      </c>
      <c r="V54" s="306">
        <v>0</v>
      </c>
      <c r="W54" s="307">
        <v>232</v>
      </c>
      <c r="X54" s="306">
        <v>0</v>
      </c>
      <c r="Y54" s="307">
        <v>1</v>
      </c>
      <c r="Z54" s="305">
        <v>8937</v>
      </c>
      <c r="AA54" s="306">
        <v>0</v>
      </c>
      <c r="AB54" s="307">
        <v>184</v>
      </c>
      <c r="AC54" s="306">
        <v>0</v>
      </c>
      <c r="AD54" s="307">
        <v>1</v>
      </c>
      <c r="AE54" s="305">
        <v>8754</v>
      </c>
    </row>
    <row r="55" spans="2:31" ht="12.75">
      <c r="B55" s="304"/>
      <c r="C55" s="293"/>
      <c r="D55" s="298"/>
      <c r="E55" s="293" t="s">
        <v>576</v>
      </c>
      <c r="F55" s="305">
        <v>11364</v>
      </c>
      <c r="G55" s="306">
        <v>16</v>
      </c>
      <c r="H55" s="307">
        <v>6</v>
      </c>
      <c r="I55" s="306">
        <v>355</v>
      </c>
      <c r="J55" s="309">
        <v>6</v>
      </c>
      <c r="K55" s="305">
        <v>11703</v>
      </c>
      <c r="L55" s="306">
        <v>0</v>
      </c>
      <c r="M55" s="307">
        <v>113</v>
      </c>
      <c r="N55" s="306">
        <v>357</v>
      </c>
      <c r="O55" s="309">
        <v>343</v>
      </c>
      <c r="P55" s="305">
        <v>12290</v>
      </c>
      <c r="Q55" s="306">
        <v>0</v>
      </c>
      <c r="R55" s="307">
        <v>236</v>
      </c>
      <c r="S55" s="306">
        <v>590</v>
      </c>
      <c r="T55" s="309">
        <v>140</v>
      </c>
      <c r="U55" s="308">
        <v>12784</v>
      </c>
      <c r="V55" s="306">
        <v>0</v>
      </c>
      <c r="W55" s="307">
        <v>63</v>
      </c>
      <c r="X55" s="306">
        <v>254</v>
      </c>
      <c r="Y55" s="307">
        <v>268</v>
      </c>
      <c r="Z55" s="305">
        <v>13243</v>
      </c>
      <c r="AA55" s="306">
        <v>0</v>
      </c>
      <c r="AB55" s="307">
        <v>60</v>
      </c>
      <c r="AC55" s="306">
        <v>576</v>
      </c>
      <c r="AD55" s="307">
        <v>232</v>
      </c>
      <c r="AE55" s="305">
        <v>13991</v>
      </c>
    </row>
    <row r="56" spans="2:31" ht="12.75">
      <c r="B56" s="304"/>
      <c r="C56" s="293"/>
      <c r="D56" s="298"/>
      <c r="E56" s="293" t="s">
        <v>427</v>
      </c>
      <c r="F56" s="305">
        <v>11757</v>
      </c>
      <c r="G56" s="306">
        <v>0</v>
      </c>
      <c r="H56" s="307">
        <v>209</v>
      </c>
      <c r="I56" s="306">
        <v>0</v>
      </c>
      <c r="J56" s="309">
        <v>249</v>
      </c>
      <c r="K56" s="305">
        <v>11797</v>
      </c>
      <c r="L56" s="306">
        <v>58</v>
      </c>
      <c r="M56" s="307">
        <v>264</v>
      </c>
      <c r="N56" s="306">
        <v>0</v>
      </c>
      <c r="O56" s="309">
        <v>264</v>
      </c>
      <c r="P56" s="305">
        <v>11739</v>
      </c>
      <c r="Q56" s="306">
        <v>230</v>
      </c>
      <c r="R56" s="307">
        <v>360</v>
      </c>
      <c r="S56" s="306">
        <v>33</v>
      </c>
      <c r="T56" s="309">
        <v>360</v>
      </c>
      <c r="U56" s="308">
        <v>11542</v>
      </c>
      <c r="V56" s="306">
        <v>86</v>
      </c>
      <c r="W56" s="307">
        <v>0</v>
      </c>
      <c r="X56" s="306">
        <v>10</v>
      </c>
      <c r="Y56" s="307">
        <v>0</v>
      </c>
      <c r="Z56" s="305">
        <v>11466</v>
      </c>
      <c r="AA56" s="306">
        <v>155</v>
      </c>
      <c r="AB56" s="307">
        <v>0</v>
      </c>
      <c r="AC56" s="306">
        <v>10</v>
      </c>
      <c r="AD56" s="307">
        <v>0</v>
      </c>
      <c r="AE56" s="305">
        <v>11321</v>
      </c>
    </row>
    <row r="57" spans="2:31" ht="12.75">
      <c r="B57" s="304"/>
      <c r="C57" s="293"/>
      <c r="D57" s="298"/>
      <c r="E57" s="293" t="s">
        <v>717</v>
      </c>
      <c r="F57" s="305">
        <v>0</v>
      </c>
      <c r="G57" s="306">
        <v>0</v>
      </c>
      <c r="H57" s="307">
        <v>0</v>
      </c>
      <c r="I57" s="306">
        <v>0</v>
      </c>
      <c r="J57" s="309">
        <v>0</v>
      </c>
      <c r="K57" s="305">
        <v>0</v>
      </c>
      <c r="L57" s="306">
        <v>0</v>
      </c>
      <c r="M57" s="307">
        <v>0</v>
      </c>
      <c r="N57" s="306">
        <v>0</v>
      </c>
      <c r="O57" s="309">
        <v>0</v>
      </c>
      <c r="P57" s="305">
        <v>0</v>
      </c>
      <c r="Q57" s="306">
        <v>0</v>
      </c>
      <c r="R57" s="307">
        <v>0</v>
      </c>
      <c r="S57" s="306">
        <v>0</v>
      </c>
      <c r="T57" s="309">
        <v>0</v>
      </c>
      <c r="U57" s="308">
        <v>0</v>
      </c>
      <c r="V57" s="306">
        <v>0</v>
      </c>
      <c r="W57" s="307">
        <v>0</v>
      </c>
      <c r="X57" s="306">
        <v>0</v>
      </c>
      <c r="Y57" s="307">
        <v>0</v>
      </c>
      <c r="Z57" s="305">
        <v>0</v>
      </c>
      <c r="AA57" s="306">
        <v>0</v>
      </c>
      <c r="AB57" s="307">
        <v>0</v>
      </c>
      <c r="AC57" s="306">
        <v>0</v>
      </c>
      <c r="AD57" s="307">
        <v>0</v>
      </c>
      <c r="AE57" s="305">
        <v>0</v>
      </c>
    </row>
    <row r="58" spans="2:31" ht="12.75">
      <c r="B58" s="304"/>
      <c r="C58" s="293"/>
      <c r="D58" s="293"/>
      <c r="E58" s="293" t="s">
        <v>296</v>
      </c>
      <c r="F58" s="305">
        <v>0</v>
      </c>
      <c r="G58" s="306">
        <v>0</v>
      </c>
      <c r="H58" s="307">
        <v>0</v>
      </c>
      <c r="I58" s="306">
        <v>0</v>
      </c>
      <c r="J58" s="309">
        <v>0</v>
      </c>
      <c r="K58" s="305">
        <v>0</v>
      </c>
      <c r="L58" s="306">
        <v>0</v>
      </c>
      <c r="M58" s="307">
        <v>0</v>
      </c>
      <c r="N58" s="306">
        <v>0</v>
      </c>
      <c r="O58" s="309">
        <v>0</v>
      </c>
      <c r="P58" s="305">
        <v>0</v>
      </c>
      <c r="Q58" s="306">
        <v>0</v>
      </c>
      <c r="R58" s="307">
        <v>0</v>
      </c>
      <c r="S58" s="306">
        <v>0</v>
      </c>
      <c r="T58" s="309">
        <v>0</v>
      </c>
      <c r="U58" s="308">
        <v>0</v>
      </c>
      <c r="V58" s="306">
        <v>0</v>
      </c>
      <c r="W58" s="307">
        <v>0</v>
      </c>
      <c r="X58" s="306">
        <v>0</v>
      </c>
      <c r="Y58" s="307">
        <v>0</v>
      </c>
      <c r="Z58" s="305">
        <v>0</v>
      </c>
      <c r="AA58" s="306">
        <v>0</v>
      </c>
      <c r="AB58" s="307">
        <v>0</v>
      </c>
      <c r="AC58" s="306">
        <v>0</v>
      </c>
      <c r="AD58" s="307">
        <v>0</v>
      </c>
      <c r="AE58" s="305">
        <v>0</v>
      </c>
    </row>
    <row r="59" spans="2:31" ht="12.75">
      <c r="B59" s="304"/>
      <c r="C59" s="293"/>
      <c r="D59" s="293"/>
      <c r="E59" s="293" t="s">
        <v>280</v>
      </c>
      <c r="F59" s="305">
        <v>0</v>
      </c>
      <c r="G59" s="306">
        <v>0</v>
      </c>
      <c r="H59" s="307">
        <v>0</v>
      </c>
      <c r="I59" s="306">
        <v>0</v>
      </c>
      <c r="J59" s="309">
        <v>0</v>
      </c>
      <c r="K59" s="305">
        <v>0</v>
      </c>
      <c r="L59" s="306">
        <v>0</v>
      </c>
      <c r="M59" s="307">
        <v>0</v>
      </c>
      <c r="N59" s="306">
        <v>0</v>
      </c>
      <c r="O59" s="309">
        <v>0</v>
      </c>
      <c r="P59" s="305">
        <v>0</v>
      </c>
      <c r="Q59" s="306">
        <v>0</v>
      </c>
      <c r="R59" s="307">
        <v>0</v>
      </c>
      <c r="S59" s="306">
        <v>0</v>
      </c>
      <c r="T59" s="309">
        <v>0</v>
      </c>
      <c r="U59" s="308">
        <v>0</v>
      </c>
      <c r="V59" s="306">
        <v>0</v>
      </c>
      <c r="W59" s="307">
        <v>0</v>
      </c>
      <c r="X59" s="306">
        <v>0</v>
      </c>
      <c r="Y59" s="307">
        <v>0</v>
      </c>
      <c r="Z59" s="305">
        <v>0</v>
      </c>
      <c r="AA59" s="306">
        <v>0</v>
      </c>
      <c r="AB59" s="307">
        <v>0</v>
      </c>
      <c r="AC59" s="306">
        <v>0</v>
      </c>
      <c r="AD59" s="307">
        <v>0</v>
      </c>
      <c r="AE59" s="305">
        <v>0</v>
      </c>
    </row>
    <row r="60" spans="2:31" ht="12.75">
      <c r="B60" s="304"/>
      <c r="C60" s="293"/>
      <c r="D60" s="298"/>
      <c r="E60" s="293" t="s">
        <v>281</v>
      </c>
      <c r="F60" s="305">
        <v>0</v>
      </c>
      <c r="G60" s="306">
        <v>0</v>
      </c>
      <c r="H60" s="307">
        <v>0</v>
      </c>
      <c r="I60" s="306">
        <v>0</v>
      </c>
      <c r="J60" s="309">
        <v>0</v>
      </c>
      <c r="K60" s="305">
        <v>0</v>
      </c>
      <c r="L60" s="306">
        <v>0</v>
      </c>
      <c r="M60" s="307">
        <v>0</v>
      </c>
      <c r="N60" s="306">
        <v>0</v>
      </c>
      <c r="O60" s="309">
        <v>0</v>
      </c>
      <c r="P60" s="305">
        <v>0</v>
      </c>
      <c r="Q60" s="306">
        <v>0</v>
      </c>
      <c r="R60" s="307">
        <v>0</v>
      </c>
      <c r="S60" s="306">
        <v>0</v>
      </c>
      <c r="T60" s="309">
        <v>0</v>
      </c>
      <c r="U60" s="308">
        <v>0</v>
      </c>
      <c r="V60" s="306">
        <v>0</v>
      </c>
      <c r="W60" s="307">
        <v>0</v>
      </c>
      <c r="X60" s="306">
        <v>0</v>
      </c>
      <c r="Y60" s="307">
        <v>0</v>
      </c>
      <c r="Z60" s="305">
        <v>0</v>
      </c>
      <c r="AA60" s="306">
        <v>0</v>
      </c>
      <c r="AB60" s="307">
        <v>0</v>
      </c>
      <c r="AC60" s="306">
        <v>0</v>
      </c>
      <c r="AD60" s="307">
        <v>0</v>
      </c>
      <c r="AE60" s="305">
        <v>0</v>
      </c>
    </row>
    <row r="61" spans="2:31" ht="12.75">
      <c r="B61" s="304"/>
      <c r="C61" s="293"/>
      <c r="D61" s="298"/>
      <c r="E61" s="293" t="s">
        <v>282</v>
      </c>
      <c r="F61" s="305">
        <v>0</v>
      </c>
      <c r="G61" s="306">
        <v>0</v>
      </c>
      <c r="H61" s="307">
        <v>0</v>
      </c>
      <c r="I61" s="306">
        <v>0</v>
      </c>
      <c r="J61" s="309">
        <v>0</v>
      </c>
      <c r="K61" s="305">
        <v>0</v>
      </c>
      <c r="L61" s="306">
        <v>0</v>
      </c>
      <c r="M61" s="307">
        <v>0</v>
      </c>
      <c r="N61" s="306">
        <v>0</v>
      </c>
      <c r="O61" s="309">
        <v>0</v>
      </c>
      <c r="P61" s="305">
        <v>0</v>
      </c>
      <c r="Q61" s="306">
        <v>0</v>
      </c>
      <c r="R61" s="307">
        <v>0</v>
      </c>
      <c r="S61" s="306">
        <v>0</v>
      </c>
      <c r="T61" s="309">
        <v>0</v>
      </c>
      <c r="U61" s="308">
        <v>0</v>
      </c>
      <c r="V61" s="306">
        <v>0</v>
      </c>
      <c r="W61" s="307">
        <v>0</v>
      </c>
      <c r="X61" s="306">
        <v>0</v>
      </c>
      <c r="Y61" s="307">
        <v>0</v>
      </c>
      <c r="Z61" s="305">
        <v>0</v>
      </c>
      <c r="AA61" s="306">
        <v>0</v>
      </c>
      <c r="AB61" s="307">
        <v>0</v>
      </c>
      <c r="AC61" s="306">
        <v>0</v>
      </c>
      <c r="AD61" s="307">
        <v>0</v>
      </c>
      <c r="AE61" s="305">
        <v>0</v>
      </c>
    </row>
    <row r="62" spans="2:31" ht="12.75">
      <c r="B62" s="304"/>
      <c r="C62" s="293"/>
      <c r="D62" s="298"/>
      <c r="E62" s="293" t="s">
        <v>285</v>
      </c>
      <c r="F62" s="305">
        <v>0</v>
      </c>
      <c r="G62" s="306">
        <v>0</v>
      </c>
      <c r="H62" s="307">
        <v>0</v>
      </c>
      <c r="I62" s="306">
        <v>0</v>
      </c>
      <c r="J62" s="309">
        <v>0</v>
      </c>
      <c r="K62" s="305">
        <v>0</v>
      </c>
      <c r="L62" s="306">
        <v>0</v>
      </c>
      <c r="M62" s="307">
        <v>0</v>
      </c>
      <c r="N62" s="306">
        <v>0</v>
      </c>
      <c r="O62" s="309">
        <v>0</v>
      </c>
      <c r="P62" s="305">
        <v>0</v>
      </c>
      <c r="Q62" s="306">
        <v>0</v>
      </c>
      <c r="R62" s="307">
        <v>0</v>
      </c>
      <c r="S62" s="306">
        <v>0</v>
      </c>
      <c r="T62" s="309">
        <v>0</v>
      </c>
      <c r="U62" s="308">
        <v>0</v>
      </c>
      <c r="V62" s="306">
        <v>0</v>
      </c>
      <c r="W62" s="307">
        <v>0</v>
      </c>
      <c r="X62" s="306">
        <v>0</v>
      </c>
      <c r="Y62" s="307">
        <v>0</v>
      </c>
      <c r="Z62" s="305">
        <v>0</v>
      </c>
      <c r="AA62" s="306">
        <v>0</v>
      </c>
      <c r="AB62" s="307">
        <v>0</v>
      </c>
      <c r="AC62" s="306">
        <v>0</v>
      </c>
      <c r="AD62" s="307">
        <v>0</v>
      </c>
      <c r="AE62" s="305">
        <v>0</v>
      </c>
    </row>
    <row r="63" spans="2:31" ht="12.75">
      <c r="B63" s="304"/>
      <c r="C63" s="293"/>
      <c r="D63" s="298"/>
      <c r="E63" s="293" t="s">
        <v>424</v>
      </c>
      <c r="F63" s="305">
        <v>0</v>
      </c>
      <c r="G63" s="306">
        <v>0</v>
      </c>
      <c r="H63" s="307">
        <v>0</v>
      </c>
      <c r="I63" s="306">
        <v>0</v>
      </c>
      <c r="J63" s="309">
        <v>0</v>
      </c>
      <c r="K63" s="305">
        <v>0</v>
      </c>
      <c r="L63" s="306">
        <v>0</v>
      </c>
      <c r="M63" s="307">
        <v>0</v>
      </c>
      <c r="N63" s="306">
        <v>0</v>
      </c>
      <c r="O63" s="309">
        <v>0</v>
      </c>
      <c r="P63" s="305">
        <v>0</v>
      </c>
      <c r="Q63" s="306">
        <v>0</v>
      </c>
      <c r="R63" s="307">
        <v>0</v>
      </c>
      <c r="S63" s="306">
        <v>0</v>
      </c>
      <c r="T63" s="309">
        <v>0</v>
      </c>
      <c r="U63" s="308">
        <v>0</v>
      </c>
      <c r="V63" s="306">
        <v>0</v>
      </c>
      <c r="W63" s="307">
        <v>0</v>
      </c>
      <c r="X63" s="306">
        <v>0</v>
      </c>
      <c r="Y63" s="307">
        <v>0</v>
      </c>
      <c r="Z63" s="305">
        <v>0</v>
      </c>
      <c r="AA63" s="306">
        <v>0</v>
      </c>
      <c r="AB63" s="307">
        <v>0</v>
      </c>
      <c r="AC63" s="306">
        <v>0</v>
      </c>
      <c r="AD63" s="307">
        <v>0</v>
      </c>
      <c r="AE63" s="305">
        <v>0</v>
      </c>
    </row>
    <row r="64" spans="2:31" ht="12.75">
      <c r="B64" s="304"/>
      <c r="C64" s="293"/>
      <c r="D64" s="298"/>
      <c r="E64" s="293" t="s">
        <v>289</v>
      </c>
      <c r="F64" s="305">
        <v>0</v>
      </c>
      <c r="G64" s="306">
        <v>0</v>
      </c>
      <c r="H64" s="307">
        <v>0</v>
      </c>
      <c r="I64" s="306">
        <v>0</v>
      </c>
      <c r="J64" s="309">
        <v>0</v>
      </c>
      <c r="K64" s="305">
        <v>0</v>
      </c>
      <c r="L64" s="306">
        <v>0</v>
      </c>
      <c r="M64" s="307">
        <v>0</v>
      </c>
      <c r="N64" s="306">
        <v>0</v>
      </c>
      <c r="O64" s="309">
        <v>0</v>
      </c>
      <c r="P64" s="305">
        <v>0</v>
      </c>
      <c r="Q64" s="306">
        <v>0</v>
      </c>
      <c r="R64" s="307">
        <v>0</v>
      </c>
      <c r="S64" s="306">
        <v>0</v>
      </c>
      <c r="T64" s="309">
        <v>0</v>
      </c>
      <c r="U64" s="308">
        <v>0</v>
      </c>
      <c r="V64" s="306">
        <v>0</v>
      </c>
      <c r="W64" s="307">
        <v>0</v>
      </c>
      <c r="X64" s="306">
        <v>0</v>
      </c>
      <c r="Y64" s="307">
        <v>0</v>
      </c>
      <c r="Z64" s="305">
        <v>0</v>
      </c>
      <c r="AA64" s="306">
        <v>0</v>
      </c>
      <c r="AB64" s="307">
        <v>0</v>
      </c>
      <c r="AC64" s="306">
        <v>0</v>
      </c>
      <c r="AD64" s="307">
        <v>0</v>
      </c>
      <c r="AE64" s="305">
        <v>0</v>
      </c>
    </row>
    <row r="65" spans="2:31" ht="12.75">
      <c r="B65" s="304"/>
      <c r="C65" s="293"/>
      <c r="D65" s="298"/>
      <c r="E65" s="293"/>
      <c r="F65" s="310"/>
      <c r="G65" s="311"/>
      <c r="H65" s="312"/>
      <c r="I65" s="311"/>
      <c r="J65" s="313"/>
      <c r="K65" s="310"/>
      <c r="L65" s="311"/>
      <c r="M65" s="312"/>
      <c r="N65" s="311"/>
      <c r="O65" s="313"/>
      <c r="P65" s="310"/>
      <c r="Q65" s="311"/>
      <c r="R65" s="312"/>
      <c r="S65" s="311"/>
      <c r="T65" s="313"/>
      <c r="U65" s="314"/>
      <c r="V65" s="311"/>
      <c r="W65" s="312"/>
      <c r="X65" s="311"/>
      <c r="Y65" s="312"/>
      <c r="Z65" s="310"/>
      <c r="AA65" s="311"/>
      <c r="AB65" s="312"/>
      <c r="AC65" s="311"/>
      <c r="AD65" s="312"/>
      <c r="AE65" s="310"/>
    </row>
    <row r="66" spans="2:31" ht="12.75">
      <c r="B66" s="304"/>
      <c r="C66" s="293"/>
      <c r="D66" s="298" t="s">
        <v>146</v>
      </c>
      <c r="E66" s="293"/>
      <c r="F66" s="310"/>
      <c r="G66" s="311"/>
      <c r="H66" s="312"/>
      <c r="I66" s="311"/>
      <c r="J66" s="313"/>
      <c r="K66" s="310"/>
      <c r="L66" s="311"/>
      <c r="M66" s="312"/>
      <c r="N66" s="311"/>
      <c r="O66" s="313"/>
      <c r="P66" s="310"/>
      <c r="Q66" s="311"/>
      <c r="R66" s="312"/>
      <c r="S66" s="311"/>
      <c r="T66" s="313"/>
      <c r="U66" s="314"/>
      <c r="V66" s="311"/>
      <c r="W66" s="312"/>
      <c r="X66" s="311"/>
      <c r="Y66" s="312"/>
      <c r="Z66" s="310"/>
      <c r="AA66" s="311"/>
      <c r="AB66" s="312"/>
      <c r="AC66" s="311"/>
      <c r="AD66" s="312"/>
      <c r="AE66" s="310"/>
    </row>
    <row r="67" spans="2:31" ht="12.75">
      <c r="B67" s="304"/>
      <c r="C67" s="293"/>
      <c r="D67" s="298"/>
      <c r="E67" s="293" t="s">
        <v>147</v>
      </c>
      <c r="F67" s="305">
        <v>33900</v>
      </c>
      <c r="G67" s="306">
        <v>254</v>
      </c>
      <c r="H67" s="307">
        <v>38</v>
      </c>
      <c r="I67" s="306">
        <v>411</v>
      </c>
      <c r="J67" s="309">
        <v>58</v>
      </c>
      <c r="K67" s="305">
        <v>34077</v>
      </c>
      <c r="L67" s="306">
        <v>0</v>
      </c>
      <c r="M67" s="307">
        <v>109</v>
      </c>
      <c r="N67" s="306">
        <v>404</v>
      </c>
      <c r="O67" s="309">
        <v>129</v>
      </c>
      <c r="P67" s="305">
        <v>34501</v>
      </c>
      <c r="Q67" s="306">
        <v>519</v>
      </c>
      <c r="R67" s="307">
        <v>188</v>
      </c>
      <c r="S67" s="306">
        <v>592</v>
      </c>
      <c r="T67" s="309">
        <v>188</v>
      </c>
      <c r="U67" s="308">
        <v>34574</v>
      </c>
      <c r="V67" s="306">
        <v>195</v>
      </c>
      <c r="W67" s="307">
        <v>133</v>
      </c>
      <c r="X67" s="306">
        <v>253</v>
      </c>
      <c r="Y67" s="307">
        <v>136</v>
      </c>
      <c r="Z67" s="305">
        <v>34635</v>
      </c>
      <c r="AA67" s="306">
        <v>349</v>
      </c>
      <c r="AB67" s="307">
        <v>133</v>
      </c>
      <c r="AC67" s="306">
        <v>572</v>
      </c>
      <c r="AD67" s="307">
        <v>127</v>
      </c>
      <c r="AE67" s="305">
        <v>34852</v>
      </c>
    </row>
    <row r="68" spans="2:31" ht="12.75">
      <c r="B68" s="304"/>
      <c r="C68" s="293"/>
      <c r="D68" s="298"/>
      <c r="E68" s="293" t="s">
        <v>148</v>
      </c>
      <c r="F68" s="305">
        <v>15050</v>
      </c>
      <c r="G68" s="306">
        <v>34</v>
      </c>
      <c r="H68" s="307">
        <v>20</v>
      </c>
      <c r="I68" s="306">
        <v>325</v>
      </c>
      <c r="J68" s="309">
        <v>10</v>
      </c>
      <c r="K68" s="305">
        <v>15331</v>
      </c>
      <c r="L68" s="306">
        <v>63</v>
      </c>
      <c r="M68" s="307">
        <v>47</v>
      </c>
      <c r="N68" s="306">
        <v>290</v>
      </c>
      <c r="O68" s="309">
        <v>47</v>
      </c>
      <c r="P68" s="305">
        <v>15558</v>
      </c>
      <c r="Q68" s="306">
        <v>280</v>
      </c>
      <c r="R68" s="307">
        <v>140</v>
      </c>
      <c r="S68" s="306">
        <v>305</v>
      </c>
      <c r="T68" s="309">
        <v>140</v>
      </c>
      <c r="U68" s="308">
        <v>15583</v>
      </c>
      <c r="V68" s="306">
        <v>105</v>
      </c>
      <c r="W68" s="307">
        <v>73</v>
      </c>
      <c r="X68" s="306">
        <v>130</v>
      </c>
      <c r="Y68" s="307">
        <v>89</v>
      </c>
      <c r="Z68" s="305">
        <v>15624</v>
      </c>
      <c r="AA68" s="306">
        <v>188</v>
      </c>
      <c r="AB68" s="307">
        <v>59</v>
      </c>
      <c r="AC68" s="306">
        <v>294</v>
      </c>
      <c r="AD68" s="307">
        <v>79</v>
      </c>
      <c r="AE68" s="305">
        <v>15750</v>
      </c>
    </row>
    <row r="69" spans="2:31" ht="12.75">
      <c r="B69" s="304"/>
      <c r="C69" s="293"/>
      <c r="D69" s="298"/>
      <c r="E69" s="293" t="s">
        <v>149</v>
      </c>
      <c r="F69" s="305">
        <v>0</v>
      </c>
      <c r="G69" s="306">
        <v>0</v>
      </c>
      <c r="H69" s="307">
        <v>0</v>
      </c>
      <c r="I69" s="306">
        <v>0</v>
      </c>
      <c r="J69" s="309">
        <v>0</v>
      </c>
      <c r="K69" s="305">
        <v>0</v>
      </c>
      <c r="L69" s="306">
        <v>0</v>
      </c>
      <c r="M69" s="307">
        <v>0</v>
      </c>
      <c r="N69" s="306">
        <v>0</v>
      </c>
      <c r="O69" s="309">
        <v>0</v>
      </c>
      <c r="P69" s="305">
        <v>0</v>
      </c>
      <c r="Q69" s="306">
        <v>0</v>
      </c>
      <c r="R69" s="307">
        <v>0</v>
      </c>
      <c r="S69" s="306">
        <v>0</v>
      </c>
      <c r="T69" s="309">
        <v>0</v>
      </c>
      <c r="U69" s="308">
        <v>0</v>
      </c>
      <c r="V69" s="306">
        <v>0</v>
      </c>
      <c r="W69" s="307">
        <v>0</v>
      </c>
      <c r="X69" s="306">
        <v>0</v>
      </c>
      <c r="Y69" s="307">
        <v>0</v>
      </c>
      <c r="Z69" s="305">
        <v>0</v>
      </c>
      <c r="AA69" s="306">
        <v>0</v>
      </c>
      <c r="AB69" s="307">
        <v>0</v>
      </c>
      <c r="AC69" s="306">
        <v>0</v>
      </c>
      <c r="AD69" s="307">
        <v>0</v>
      </c>
      <c r="AE69" s="305">
        <v>0</v>
      </c>
    </row>
    <row r="70" spans="2:31" ht="12.75">
      <c r="B70" s="304"/>
      <c r="C70" s="293"/>
      <c r="D70" s="298"/>
      <c r="E70" s="293" t="s">
        <v>150</v>
      </c>
      <c r="F70" s="305">
        <v>0</v>
      </c>
      <c r="G70" s="306">
        <v>0</v>
      </c>
      <c r="H70" s="307">
        <v>0</v>
      </c>
      <c r="I70" s="306">
        <v>0</v>
      </c>
      <c r="J70" s="309">
        <v>0</v>
      </c>
      <c r="K70" s="305">
        <v>0</v>
      </c>
      <c r="L70" s="306">
        <v>0</v>
      </c>
      <c r="M70" s="307">
        <v>0</v>
      </c>
      <c r="N70" s="306">
        <v>0</v>
      </c>
      <c r="O70" s="309">
        <v>0</v>
      </c>
      <c r="P70" s="305">
        <v>0</v>
      </c>
      <c r="Q70" s="306">
        <v>0</v>
      </c>
      <c r="R70" s="307">
        <v>0</v>
      </c>
      <c r="S70" s="306">
        <v>0</v>
      </c>
      <c r="T70" s="309">
        <v>0</v>
      </c>
      <c r="U70" s="308">
        <v>0</v>
      </c>
      <c r="V70" s="306">
        <v>0</v>
      </c>
      <c r="W70" s="307">
        <v>0</v>
      </c>
      <c r="X70" s="306">
        <v>0</v>
      </c>
      <c r="Y70" s="307">
        <v>0</v>
      </c>
      <c r="Z70" s="305">
        <v>0</v>
      </c>
      <c r="AA70" s="306">
        <v>0</v>
      </c>
      <c r="AB70" s="307">
        <v>0</v>
      </c>
      <c r="AC70" s="306">
        <v>0</v>
      </c>
      <c r="AD70" s="307">
        <v>0</v>
      </c>
      <c r="AE70" s="305">
        <v>0</v>
      </c>
    </row>
    <row r="71" spans="2:31" ht="13.5" thickBot="1">
      <c r="B71" s="289"/>
      <c r="C71" s="290"/>
      <c r="D71" s="290"/>
      <c r="E71" s="290"/>
      <c r="F71" s="315"/>
      <c r="G71" s="316"/>
      <c r="H71" s="317"/>
      <c r="I71" s="316"/>
      <c r="J71" s="318"/>
      <c r="K71" s="319"/>
      <c r="L71" s="316"/>
      <c r="M71" s="317"/>
      <c r="N71" s="316"/>
      <c r="O71" s="318"/>
      <c r="P71" s="319"/>
      <c r="Q71" s="316"/>
      <c r="R71" s="317"/>
      <c r="S71" s="316"/>
      <c r="T71" s="318"/>
      <c r="U71" s="320"/>
      <c r="V71" s="316"/>
      <c r="W71" s="317"/>
      <c r="X71" s="316"/>
      <c r="Y71" s="317"/>
      <c r="Z71" s="319"/>
      <c r="AA71" s="316"/>
      <c r="AB71" s="317"/>
      <c r="AC71" s="316"/>
      <c r="AD71" s="317"/>
      <c r="AE71" s="319"/>
    </row>
    <row r="72" spans="2:31" ht="12.75">
      <c r="B72" s="321"/>
      <c r="C72" s="322" t="s">
        <v>301</v>
      </c>
      <c r="D72" s="322"/>
      <c r="E72" s="323"/>
      <c r="F72" s="324"/>
      <c r="G72" s="325"/>
      <c r="H72" s="326"/>
      <c r="I72" s="325"/>
      <c r="J72" s="327"/>
      <c r="K72" s="324"/>
      <c r="L72" s="325"/>
      <c r="M72" s="326"/>
      <c r="N72" s="325"/>
      <c r="O72" s="327"/>
      <c r="P72" s="324"/>
      <c r="Q72" s="325"/>
      <c r="R72" s="326"/>
      <c r="S72" s="325"/>
      <c r="T72" s="327"/>
      <c r="U72" s="328"/>
      <c r="V72" s="325"/>
      <c r="W72" s="326"/>
      <c r="X72" s="325"/>
      <c r="Y72" s="326"/>
      <c r="Z72" s="324"/>
      <c r="AA72" s="325"/>
      <c r="AB72" s="326"/>
      <c r="AC72" s="325"/>
      <c r="AD72" s="326"/>
      <c r="AE72" s="324"/>
    </row>
    <row r="73" spans="2:31" ht="12.75">
      <c r="B73" s="304"/>
      <c r="C73" s="293"/>
      <c r="D73" s="298" t="s">
        <v>320</v>
      </c>
      <c r="E73" s="293"/>
      <c r="F73" s="310"/>
      <c r="G73" s="311"/>
      <c r="H73" s="312"/>
      <c r="I73" s="311"/>
      <c r="J73" s="313"/>
      <c r="K73" s="310"/>
      <c r="L73" s="311"/>
      <c r="M73" s="312"/>
      <c r="N73" s="311"/>
      <c r="O73" s="313"/>
      <c r="P73" s="310"/>
      <c r="Q73" s="311"/>
      <c r="R73" s="312"/>
      <c r="S73" s="311"/>
      <c r="T73" s="313"/>
      <c r="U73" s="314"/>
      <c r="V73" s="311"/>
      <c r="W73" s="312"/>
      <c r="X73" s="311"/>
      <c r="Y73" s="312"/>
      <c r="Z73" s="310"/>
      <c r="AA73" s="311"/>
      <c r="AB73" s="312"/>
      <c r="AC73" s="311"/>
      <c r="AD73" s="312"/>
      <c r="AE73" s="310"/>
    </row>
    <row r="74" spans="2:31" ht="12.75">
      <c r="B74" s="304"/>
      <c r="C74" s="293"/>
      <c r="D74" s="293"/>
      <c r="E74" s="293" t="s">
        <v>302</v>
      </c>
      <c r="F74" s="305">
        <v>1032</v>
      </c>
      <c r="G74" s="306">
        <v>0</v>
      </c>
      <c r="H74" s="307">
        <v>6</v>
      </c>
      <c r="I74" s="306">
        <v>5</v>
      </c>
      <c r="J74" s="309">
        <v>6</v>
      </c>
      <c r="K74" s="305">
        <v>1037</v>
      </c>
      <c r="L74" s="306">
        <v>8</v>
      </c>
      <c r="M74" s="307">
        <v>8</v>
      </c>
      <c r="N74" s="306">
        <v>6</v>
      </c>
      <c r="O74" s="309">
        <v>8</v>
      </c>
      <c r="P74" s="305">
        <v>1035</v>
      </c>
      <c r="Q74" s="306">
        <v>3</v>
      </c>
      <c r="R74" s="307">
        <v>8</v>
      </c>
      <c r="S74" s="306">
        <v>5</v>
      </c>
      <c r="T74" s="309">
        <v>8</v>
      </c>
      <c r="U74" s="308">
        <v>1037</v>
      </c>
      <c r="V74" s="306">
        <v>5</v>
      </c>
      <c r="W74" s="307">
        <v>3.1</v>
      </c>
      <c r="X74" s="306">
        <v>4.3</v>
      </c>
      <c r="Y74" s="307">
        <v>1.9</v>
      </c>
      <c r="Z74" s="305">
        <v>1035.1</v>
      </c>
      <c r="AA74" s="306">
        <v>0.6</v>
      </c>
      <c r="AB74" s="307">
        <v>9.7</v>
      </c>
      <c r="AC74" s="306">
        <v>0.7</v>
      </c>
      <c r="AD74" s="307">
        <v>3.5</v>
      </c>
      <c r="AE74" s="305">
        <v>1029</v>
      </c>
    </row>
    <row r="75" spans="2:31" ht="12.75">
      <c r="B75" s="304"/>
      <c r="C75" s="293"/>
      <c r="D75" s="298"/>
      <c r="E75" s="293" t="s">
        <v>303</v>
      </c>
      <c r="F75" s="305">
        <v>0</v>
      </c>
      <c r="G75" s="306">
        <v>0</v>
      </c>
      <c r="H75" s="307">
        <v>0</v>
      </c>
      <c r="I75" s="306">
        <v>0</v>
      </c>
      <c r="J75" s="309">
        <v>0</v>
      </c>
      <c r="K75" s="305">
        <v>0</v>
      </c>
      <c r="L75" s="306">
        <v>0</v>
      </c>
      <c r="M75" s="307">
        <v>0</v>
      </c>
      <c r="N75" s="306">
        <v>0</v>
      </c>
      <c r="O75" s="309">
        <v>0</v>
      </c>
      <c r="P75" s="305">
        <v>0</v>
      </c>
      <c r="Q75" s="306">
        <v>0</v>
      </c>
      <c r="R75" s="307">
        <v>0</v>
      </c>
      <c r="S75" s="306">
        <v>0</v>
      </c>
      <c r="T75" s="309">
        <v>0</v>
      </c>
      <c r="U75" s="308">
        <v>0</v>
      </c>
      <c r="V75" s="306">
        <v>0</v>
      </c>
      <c r="W75" s="307">
        <v>0</v>
      </c>
      <c r="X75" s="306">
        <v>0</v>
      </c>
      <c r="Y75" s="307">
        <v>0</v>
      </c>
      <c r="Z75" s="305">
        <v>0</v>
      </c>
      <c r="AA75" s="306">
        <v>0</v>
      </c>
      <c r="AB75" s="307">
        <v>0</v>
      </c>
      <c r="AC75" s="306">
        <v>0</v>
      </c>
      <c r="AD75" s="307">
        <v>0</v>
      </c>
      <c r="AE75" s="305">
        <v>0</v>
      </c>
    </row>
    <row r="76" spans="2:31" ht="12.75">
      <c r="B76" s="304"/>
      <c r="C76" s="293"/>
      <c r="D76" s="298"/>
      <c r="E76" s="293" t="s">
        <v>304</v>
      </c>
      <c r="F76" s="305">
        <v>801</v>
      </c>
      <c r="G76" s="306">
        <v>0</v>
      </c>
      <c r="H76" s="307">
        <v>0</v>
      </c>
      <c r="I76" s="306">
        <v>0</v>
      </c>
      <c r="J76" s="309">
        <v>0</v>
      </c>
      <c r="K76" s="305">
        <v>801</v>
      </c>
      <c r="L76" s="306">
        <v>8</v>
      </c>
      <c r="M76" s="307">
        <v>0</v>
      </c>
      <c r="N76" s="306">
        <v>0</v>
      </c>
      <c r="O76" s="309">
        <v>0</v>
      </c>
      <c r="P76" s="305">
        <v>793</v>
      </c>
      <c r="Q76" s="306">
        <v>0</v>
      </c>
      <c r="R76" s="307">
        <v>0</v>
      </c>
      <c r="S76" s="306">
        <v>0</v>
      </c>
      <c r="T76" s="309">
        <v>0</v>
      </c>
      <c r="U76" s="308">
        <v>793</v>
      </c>
      <c r="V76" s="306">
        <v>0</v>
      </c>
      <c r="W76" s="307">
        <v>0</v>
      </c>
      <c r="X76" s="306">
        <v>0</v>
      </c>
      <c r="Y76" s="307">
        <v>0</v>
      </c>
      <c r="Z76" s="305">
        <v>793</v>
      </c>
      <c r="AA76" s="306">
        <v>0</v>
      </c>
      <c r="AB76" s="307">
        <v>0</v>
      </c>
      <c r="AC76" s="306">
        <v>0</v>
      </c>
      <c r="AD76" s="307">
        <v>0</v>
      </c>
      <c r="AE76" s="305">
        <v>793</v>
      </c>
    </row>
    <row r="77" spans="2:31" ht="12.75">
      <c r="B77" s="304"/>
      <c r="C77" s="293"/>
      <c r="D77" s="298"/>
      <c r="E77" s="293" t="s">
        <v>305</v>
      </c>
      <c r="F77" s="305">
        <v>0</v>
      </c>
      <c r="G77" s="306">
        <v>0</v>
      </c>
      <c r="H77" s="307">
        <v>0</v>
      </c>
      <c r="I77" s="306">
        <v>0</v>
      </c>
      <c r="J77" s="309">
        <v>0</v>
      </c>
      <c r="K77" s="305">
        <v>0</v>
      </c>
      <c r="L77" s="306">
        <v>0</v>
      </c>
      <c r="M77" s="307">
        <v>0</v>
      </c>
      <c r="N77" s="306">
        <v>0</v>
      </c>
      <c r="O77" s="309">
        <v>0</v>
      </c>
      <c r="P77" s="305">
        <v>0</v>
      </c>
      <c r="Q77" s="306">
        <v>0</v>
      </c>
      <c r="R77" s="307">
        <v>0</v>
      </c>
      <c r="S77" s="306">
        <v>0</v>
      </c>
      <c r="T77" s="309">
        <v>0</v>
      </c>
      <c r="U77" s="308">
        <v>0</v>
      </c>
      <c r="V77" s="306">
        <v>0</v>
      </c>
      <c r="W77" s="307">
        <v>0</v>
      </c>
      <c r="X77" s="306">
        <v>0</v>
      </c>
      <c r="Y77" s="307">
        <v>0</v>
      </c>
      <c r="Z77" s="305">
        <v>0</v>
      </c>
      <c r="AA77" s="306">
        <v>0</v>
      </c>
      <c r="AB77" s="307">
        <v>0</v>
      </c>
      <c r="AC77" s="306">
        <v>0</v>
      </c>
      <c r="AD77" s="307">
        <v>0</v>
      </c>
      <c r="AE77" s="305">
        <v>0</v>
      </c>
    </row>
    <row r="78" spans="2:31" ht="12.75">
      <c r="B78" s="304"/>
      <c r="C78" s="293"/>
      <c r="D78" s="298"/>
      <c r="E78" s="293"/>
      <c r="F78" s="310"/>
      <c r="G78" s="311"/>
      <c r="H78" s="312"/>
      <c r="I78" s="311"/>
      <c r="J78" s="313"/>
      <c r="K78" s="310"/>
      <c r="L78" s="311"/>
      <c r="M78" s="312"/>
      <c r="N78" s="311"/>
      <c r="O78" s="313"/>
      <c r="P78" s="310"/>
      <c r="Q78" s="311"/>
      <c r="R78" s="312"/>
      <c r="S78" s="311"/>
      <c r="T78" s="313"/>
      <c r="U78" s="314"/>
      <c r="V78" s="311"/>
      <c r="W78" s="312"/>
      <c r="X78" s="311"/>
      <c r="Y78" s="312"/>
      <c r="Z78" s="310"/>
      <c r="AA78" s="311"/>
      <c r="AB78" s="312"/>
      <c r="AC78" s="311"/>
      <c r="AD78" s="312"/>
      <c r="AE78" s="310"/>
    </row>
    <row r="79" spans="2:31" ht="12.75">
      <c r="B79" s="304"/>
      <c r="C79" s="293"/>
      <c r="D79" s="298" t="s">
        <v>520</v>
      </c>
      <c r="E79" s="293"/>
      <c r="F79" s="310"/>
      <c r="G79" s="311"/>
      <c r="H79" s="312"/>
      <c r="I79" s="311"/>
      <c r="J79" s="313"/>
      <c r="K79" s="310"/>
      <c r="L79" s="311"/>
      <c r="M79" s="312"/>
      <c r="N79" s="311"/>
      <c r="O79" s="313"/>
      <c r="P79" s="310"/>
      <c r="Q79" s="311"/>
      <c r="R79" s="312"/>
      <c r="S79" s="311"/>
      <c r="T79" s="313"/>
      <c r="U79" s="314"/>
      <c r="V79" s="311"/>
      <c r="W79" s="312"/>
      <c r="X79" s="311"/>
      <c r="Y79" s="312"/>
      <c r="Z79" s="310"/>
      <c r="AA79" s="311"/>
      <c r="AB79" s="312"/>
      <c r="AC79" s="311"/>
      <c r="AD79" s="312"/>
      <c r="AE79" s="310"/>
    </row>
    <row r="80" spans="2:31" ht="12.75">
      <c r="B80" s="304"/>
      <c r="C80" s="293"/>
      <c r="D80" s="293"/>
      <c r="E80" s="293" t="s">
        <v>306</v>
      </c>
      <c r="F80" s="305">
        <v>7723</v>
      </c>
      <c r="G80" s="306">
        <v>0</v>
      </c>
      <c r="H80" s="307">
        <v>58</v>
      </c>
      <c r="I80" s="306">
        <v>45</v>
      </c>
      <c r="J80" s="309">
        <v>43</v>
      </c>
      <c r="K80" s="305">
        <v>7753</v>
      </c>
      <c r="L80" s="306">
        <v>0</v>
      </c>
      <c r="M80" s="307">
        <v>0</v>
      </c>
      <c r="N80" s="306">
        <v>0</v>
      </c>
      <c r="O80" s="309">
        <v>0</v>
      </c>
      <c r="P80" s="305">
        <v>7753</v>
      </c>
      <c r="Q80" s="306">
        <v>168</v>
      </c>
      <c r="R80" s="307">
        <v>448</v>
      </c>
      <c r="S80" s="306">
        <v>97</v>
      </c>
      <c r="T80" s="309">
        <v>158</v>
      </c>
      <c r="U80" s="308">
        <v>7392</v>
      </c>
      <c r="V80" s="306">
        <v>50</v>
      </c>
      <c r="W80" s="307">
        <v>35</v>
      </c>
      <c r="X80" s="306">
        <v>43</v>
      </c>
      <c r="Y80" s="307">
        <v>22.7</v>
      </c>
      <c r="Z80" s="305">
        <v>7372.7</v>
      </c>
      <c r="AA80" s="306">
        <v>6</v>
      </c>
      <c r="AB80" s="307">
        <v>98.8</v>
      </c>
      <c r="AC80" s="306">
        <v>7</v>
      </c>
      <c r="AD80" s="307">
        <v>36.5</v>
      </c>
      <c r="AE80" s="305">
        <v>7311.4</v>
      </c>
    </row>
    <row r="81" spans="2:31" ht="12.75">
      <c r="B81" s="304"/>
      <c r="C81" s="293"/>
      <c r="D81" s="293"/>
      <c r="E81" s="293" t="s">
        <v>307</v>
      </c>
      <c r="F81" s="305">
        <v>730</v>
      </c>
      <c r="G81" s="306">
        <v>5</v>
      </c>
      <c r="H81" s="307">
        <v>0</v>
      </c>
      <c r="I81" s="306">
        <v>0</v>
      </c>
      <c r="J81" s="309">
        <v>0</v>
      </c>
      <c r="K81" s="305">
        <v>725</v>
      </c>
      <c r="L81" s="306">
        <v>0</v>
      </c>
      <c r="M81" s="307">
        <v>0</v>
      </c>
      <c r="N81" s="306">
        <v>0</v>
      </c>
      <c r="O81" s="309">
        <v>0</v>
      </c>
      <c r="P81" s="305">
        <v>725</v>
      </c>
      <c r="Q81" s="306">
        <v>0</v>
      </c>
      <c r="R81" s="307">
        <v>0</v>
      </c>
      <c r="S81" s="306">
        <v>0</v>
      </c>
      <c r="T81" s="309">
        <v>0</v>
      </c>
      <c r="U81" s="308">
        <v>725</v>
      </c>
      <c r="V81" s="306">
        <v>0</v>
      </c>
      <c r="W81" s="307">
        <v>0</v>
      </c>
      <c r="X81" s="306">
        <v>0</v>
      </c>
      <c r="Y81" s="307">
        <v>0</v>
      </c>
      <c r="Z81" s="305">
        <v>725</v>
      </c>
      <c r="AA81" s="306">
        <v>0</v>
      </c>
      <c r="AB81" s="307">
        <v>0</v>
      </c>
      <c r="AC81" s="306">
        <v>0</v>
      </c>
      <c r="AD81" s="307">
        <v>0</v>
      </c>
      <c r="AE81" s="305">
        <v>725</v>
      </c>
    </row>
    <row r="82" spans="2:31" ht="12.75">
      <c r="B82" s="304"/>
      <c r="C82" s="293"/>
      <c r="D82" s="298"/>
      <c r="E82" s="293" t="s">
        <v>178</v>
      </c>
      <c r="F82" s="305">
        <v>8891</v>
      </c>
      <c r="G82" s="306">
        <v>0</v>
      </c>
      <c r="H82" s="307">
        <v>0</v>
      </c>
      <c r="I82" s="306">
        <v>0</v>
      </c>
      <c r="J82" s="309">
        <v>0</v>
      </c>
      <c r="K82" s="305">
        <v>8891</v>
      </c>
      <c r="L82" s="306">
        <v>0</v>
      </c>
      <c r="M82" s="307">
        <v>0</v>
      </c>
      <c r="N82" s="306">
        <v>0</v>
      </c>
      <c r="O82" s="309">
        <v>0</v>
      </c>
      <c r="P82" s="305">
        <v>8891</v>
      </c>
      <c r="Q82" s="306">
        <v>0</v>
      </c>
      <c r="R82" s="307">
        <v>0</v>
      </c>
      <c r="S82" s="306">
        <v>0</v>
      </c>
      <c r="T82" s="309">
        <v>0</v>
      </c>
      <c r="U82" s="308">
        <v>8891</v>
      </c>
      <c r="V82" s="306">
        <v>0</v>
      </c>
      <c r="W82" s="307">
        <v>0</v>
      </c>
      <c r="X82" s="306">
        <v>0</v>
      </c>
      <c r="Y82" s="307">
        <v>0</v>
      </c>
      <c r="Z82" s="305">
        <v>8891</v>
      </c>
      <c r="AA82" s="306">
        <v>0</v>
      </c>
      <c r="AB82" s="307">
        <v>0</v>
      </c>
      <c r="AC82" s="306">
        <v>0</v>
      </c>
      <c r="AD82" s="307">
        <v>0</v>
      </c>
      <c r="AE82" s="305">
        <v>8891</v>
      </c>
    </row>
    <row r="83" spans="2:31" ht="12.75">
      <c r="B83" s="304"/>
      <c r="C83" s="293"/>
      <c r="D83" s="298"/>
      <c r="E83" s="293" t="s">
        <v>179</v>
      </c>
      <c r="F83" s="305">
        <v>672</v>
      </c>
      <c r="G83" s="306">
        <v>0</v>
      </c>
      <c r="H83" s="307">
        <v>0</v>
      </c>
      <c r="I83" s="306">
        <v>0</v>
      </c>
      <c r="J83" s="309">
        <v>0</v>
      </c>
      <c r="K83" s="305">
        <v>672</v>
      </c>
      <c r="L83" s="306">
        <v>3</v>
      </c>
      <c r="M83" s="307">
        <v>0</v>
      </c>
      <c r="N83" s="306">
        <v>0</v>
      </c>
      <c r="O83" s="309">
        <v>0</v>
      </c>
      <c r="P83" s="305">
        <v>669</v>
      </c>
      <c r="Q83" s="306">
        <v>0</v>
      </c>
      <c r="R83" s="307">
        <v>0</v>
      </c>
      <c r="S83" s="306">
        <v>0</v>
      </c>
      <c r="T83" s="309">
        <v>0</v>
      </c>
      <c r="U83" s="308">
        <v>669</v>
      </c>
      <c r="V83" s="306">
        <v>0</v>
      </c>
      <c r="W83" s="307">
        <v>0</v>
      </c>
      <c r="X83" s="306">
        <v>0</v>
      </c>
      <c r="Y83" s="307">
        <v>0</v>
      </c>
      <c r="Z83" s="305">
        <v>669</v>
      </c>
      <c r="AA83" s="306">
        <v>0</v>
      </c>
      <c r="AB83" s="307">
        <v>0</v>
      </c>
      <c r="AC83" s="306">
        <v>0</v>
      </c>
      <c r="AD83" s="307">
        <v>0</v>
      </c>
      <c r="AE83" s="305">
        <v>669</v>
      </c>
    </row>
    <row r="84" spans="2:31" ht="12.75">
      <c r="B84" s="304"/>
      <c r="C84" s="293"/>
      <c r="D84" s="293"/>
      <c r="E84" s="293"/>
      <c r="F84" s="310"/>
      <c r="G84" s="311"/>
      <c r="H84" s="312"/>
      <c r="I84" s="311"/>
      <c r="J84" s="313"/>
      <c r="K84" s="310"/>
      <c r="L84" s="311"/>
      <c r="M84" s="312"/>
      <c r="N84" s="311"/>
      <c r="O84" s="313"/>
      <c r="P84" s="310"/>
      <c r="Q84" s="311"/>
      <c r="R84" s="312"/>
      <c r="S84" s="311"/>
      <c r="T84" s="313"/>
      <c r="U84" s="314"/>
      <c r="V84" s="311"/>
      <c r="W84" s="312"/>
      <c r="X84" s="311"/>
      <c r="Y84" s="312"/>
      <c r="Z84" s="310"/>
      <c r="AA84" s="311"/>
      <c r="AB84" s="312"/>
      <c r="AC84" s="311"/>
      <c r="AD84" s="312"/>
      <c r="AE84" s="310"/>
    </row>
    <row r="85" spans="2:31" ht="12.75">
      <c r="B85" s="291"/>
      <c r="C85" s="293"/>
      <c r="D85" s="298" t="s">
        <v>419</v>
      </c>
      <c r="E85" s="293"/>
      <c r="F85" s="310"/>
      <c r="G85" s="311"/>
      <c r="H85" s="312"/>
      <c r="I85" s="311"/>
      <c r="J85" s="313"/>
      <c r="K85" s="310"/>
      <c r="L85" s="311"/>
      <c r="M85" s="312"/>
      <c r="N85" s="311"/>
      <c r="O85" s="313"/>
      <c r="P85" s="310"/>
      <c r="Q85" s="311"/>
      <c r="R85" s="312"/>
      <c r="S85" s="311"/>
      <c r="T85" s="313"/>
      <c r="U85" s="314"/>
      <c r="V85" s="311"/>
      <c r="W85" s="312"/>
      <c r="X85" s="311"/>
      <c r="Y85" s="312"/>
      <c r="Z85" s="310"/>
      <c r="AA85" s="311"/>
      <c r="AB85" s="312"/>
      <c r="AC85" s="311"/>
      <c r="AD85" s="312"/>
      <c r="AE85" s="310"/>
    </row>
    <row r="86" spans="2:31" ht="12.75">
      <c r="B86" s="291"/>
      <c r="C86" s="293"/>
      <c r="D86" s="298"/>
      <c r="E86" s="293" t="s">
        <v>162</v>
      </c>
      <c r="F86" s="305">
        <v>219</v>
      </c>
      <c r="G86" s="306">
        <v>0</v>
      </c>
      <c r="H86" s="307">
        <v>0</v>
      </c>
      <c r="I86" s="306">
        <v>1</v>
      </c>
      <c r="J86" s="309">
        <v>2</v>
      </c>
      <c r="K86" s="305">
        <v>222</v>
      </c>
      <c r="L86" s="306">
        <v>1</v>
      </c>
      <c r="M86" s="307">
        <v>3</v>
      </c>
      <c r="N86" s="306">
        <v>3</v>
      </c>
      <c r="O86" s="309">
        <v>3</v>
      </c>
      <c r="P86" s="305">
        <v>224</v>
      </c>
      <c r="Q86" s="306">
        <v>0</v>
      </c>
      <c r="R86" s="307">
        <v>7</v>
      </c>
      <c r="S86" s="306">
        <v>6</v>
      </c>
      <c r="T86" s="309">
        <v>10</v>
      </c>
      <c r="U86" s="308">
        <v>233</v>
      </c>
      <c r="V86" s="306">
        <v>1.9</v>
      </c>
      <c r="W86" s="307">
        <v>19.2</v>
      </c>
      <c r="X86" s="306">
        <v>11.9</v>
      </c>
      <c r="Y86" s="307">
        <v>4.5</v>
      </c>
      <c r="Z86" s="305">
        <v>228.3</v>
      </c>
      <c r="AA86" s="306">
        <v>1.1</v>
      </c>
      <c r="AB86" s="307">
        <v>12.3</v>
      </c>
      <c r="AC86" s="306">
        <v>4.4</v>
      </c>
      <c r="AD86" s="307">
        <v>2.2</v>
      </c>
      <c r="AE86" s="305">
        <v>221.5</v>
      </c>
    </row>
    <row r="87" spans="2:31" ht="12.75">
      <c r="B87" s="291"/>
      <c r="C87" s="293"/>
      <c r="D87" s="298"/>
      <c r="E87" s="293" t="s">
        <v>163</v>
      </c>
      <c r="F87" s="305">
        <v>130</v>
      </c>
      <c r="G87" s="306">
        <v>0</v>
      </c>
      <c r="H87" s="307">
        <v>0</v>
      </c>
      <c r="I87" s="306">
        <v>0</v>
      </c>
      <c r="J87" s="309">
        <v>0</v>
      </c>
      <c r="K87" s="305">
        <v>130</v>
      </c>
      <c r="L87" s="306">
        <v>2</v>
      </c>
      <c r="M87" s="307">
        <v>0</v>
      </c>
      <c r="N87" s="306">
        <v>0</v>
      </c>
      <c r="O87" s="309">
        <v>0</v>
      </c>
      <c r="P87" s="305">
        <v>128</v>
      </c>
      <c r="Q87" s="306">
        <v>6</v>
      </c>
      <c r="R87" s="307">
        <v>0</v>
      </c>
      <c r="S87" s="306">
        <v>0</v>
      </c>
      <c r="T87" s="309">
        <v>0</v>
      </c>
      <c r="U87" s="308">
        <v>122</v>
      </c>
      <c r="V87" s="306">
        <v>0</v>
      </c>
      <c r="W87" s="307">
        <v>0</v>
      </c>
      <c r="X87" s="306">
        <v>0</v>
      </c>
      <c r="Y87" s="307">
        <v>0</v>
      </c>
      <c r="Z87" s="305">
        <v>122</v>
      </c>
      <c r="AA87" s="306">
        <v>0</v>
      </c>
      <c r="AB87" s="307">
        <v>0</v>
      </c>
      <c r="AC87" s="306">
        <v>0</v>
      </c>
      <c r="AD87" s="307">
        <v>0</v>
      </c>
      <c r="AE87" s="305">
        <v>122</v>
      </c>
    </row>
    <row r="88" spans="2:31" ht="12.75">
      <c r="B88" s="291"/>
      <c r="C88" s="293"/>
      <c r="D88" s="298"/>
      <c r="E88" s="293" t="s">
        <v>164</v>
      </c>
      <c r="F88" s="305">
        <v>9</v>
      </c>
      <c r="G88" s="306">
        <v>0</v>
      </c>
      <c r="H88" s="307">
        <v>0</v>
      </c>
      <c r="I88" s="306">
        <v>0</v>
      </c>
      <c r="J88" s="309">
        <v>0</v>
      </c>
      <c r="K88" s="305">
        <v>9</v>
      </c>
      <c r="L88" s="306">
        <v>0</v>
      </c>
      <c r="M88" s="307">
        <v>0</v>
      </c>
      <c r="N88" s="306">
        <v>0</v>
      </c>
      <c r="O88" s="309">
        <v>0</v>
      </c>
      <c r="P88" s="305">
        <v>9</v>
      </c>
      <c r="Q88" s="306">
        <v>0</v>
      </c>
      <c r="R88" s="307">
        <v>0</v>
      </c>
      <c r="S88" s="306">
        <v>0</v>
      </c>
      <c r="T88" s="309">
        <v>0</v>
      </c>
      <c r="U88" s="308">
        <v>9</v>
      </c>
      <c r="V88" s="306">
        <v>0</v>
      </c>
      <c r="W88" s="307">
        <v>0</v>
      </c>
      <c r="X88" s="306">
        <v>0</v>
      </c>
      <c r="Y88" s="307">
        <v>0</v>
      </c>
      <c r="Z88" s="305">
        <v>9</v>
      </c>
      <c r="AA88" s="306">
        <v>0</v>
      </c>
      <c r="AB88" s="307">
        <v>0</v>
      </c>
      <c r="AC88" s="306">
        <v>0</v>
      </c>
      <c r="AD88" s="307">
        <v>0</v>
      </c>
      <c r="AE88" s="305">
        <v>9</v>
      </c>
    </row>
    <row r="89" spans="2:31" ht="12.75">
      <c r="B89" s="291"/>
      <c r="C89" s="293"/>
      <c r="D89" s="298"/>
      <c r="E89" s="293" t="s">
        <v>314</v>
      </c>
      <c r="F89" s="305">
        <v>8</v>
      </c>
      <c r="G89" s="306">
        <v>0</v>
      </c>
      <c r="H89" s="307">
        <v>0</v>
      </c>
      <c r="I89" s="306">
        <v>0</v>
      </c>
      <c r="J89" s="309">
        <v>0</v>
      </c>
      <c r="K89" s="305">
        <v>8</v>
      </c>
      <c r="L89" s="306">
        <v>0</v>
      </c>
      <c r="M89" s="307">
        <v>0</v>
      </c>
      <c r="N89" s="306">
        <v>0</v>
      </c>
      <c r="O89" s="309">
        <v>0</v>
      </c>
      <c r="P89" s="305">
        <v>8</v>
      </c>
      <c r="Q89" s="306">
        <v>0</v>
      </c>
      <c r="R89" s="307">
        <v>0</v>
      </c>
      <c r="S89" s="306">
        <v>0</v>
      </c>
      <c r="T89" s="309">
        <v>0</v>
      </c>
      <c r="U89" s="308">
        <v>8</v>
      </c>
      <c r="V89" s="306">
        <v>0</v>
      </c>
      <c r="W89" s="307">
        <v>0</v>
      </c>
      <c r="X89" s="306">
        <v>0</v>
      </c>
      <c r="Y89" s="307">
        <v>0</v>
      </c>
      <c r="Z89" s="305">
        <v>8</v>
      </c>
      <c r="AA89" s="306">
        <v>0</v>
      </c>
      <c r="AB89" s="307">
        <v>0</v>
      </c>
      <c r="AC89" s="306">
        <v>0</v>
      </c>
      <c r="AD89" s="307">
        <v>0</v>
      </c>
      <c r="AE89" s="305">
        <v>8</v>
      </c>
    </row>
    <row r="90" spans="2:31" ht="12.75">
      <c r="B90" s="291"/>
      <c r="C90" s="293"/>
      <c r="D90" s="298"/>
      <c r="E90" s="293" t="s">
        <v>185</v>
      </c>
      <c r="F90" s="305">
        <v>8</v>
      </c>
      <c r="G90" s="306">
        <v>0</v>
      </c>
      <c r="H90" s="307">
        <v>0</v>
      </c>
      <c r="I90" s="306">
        <v>0</v>
      </c>
      <c r="J90" s="309">
        <v>0</v>
      </c>
      <c r="K90" s="305">
        <v>8</v>
      </c>
      <c r="L90" s="306">
        <v>0</v>
      </c>
      <c r="M90" s="307">
        <v>0</v>
      </c>
      <c r="N90" s="306">
        <v>0</v>
      </c>
      <c r="O90" s="309">
        <v>0</v>
      </c>
      <c r="P90" s="305">
        <v>8</v>
      </c>
      <c r="Q90" s="306">
        <v>0</v>
      </c>
      <c r="R90" s="307">
        <v>0</v>
      </c>
      <c r="S90" s="306">
        <v>0</v>
      </c>
      <c r="T90" s="309">
        <v>0</v>
      </c>
      <c r="U90" s="308">
        <v>8</v>
      </c>
      <c r="V90" s="306">
        <v>0</v>
      </c>
      <c r="W90" s="307">
        <v>0</v>
      </c>
      <c r="X90" s="306">
        <v>0</v>
      </c>
      <c r="Y90" s="307">
        <v>0</v>
      </c>
      <c r="Z90" s="305">
        <v>8</v>
      </c>
      <c r="AA90" s="306">
        <v>0</v>
      </c>
      <c r="AB90" s="307">
        <v>0</v>
      </c>
      <c r="AC90" s="306">
        <v>0</v>
      </c>
      <c r="AD90" s="307">
        <v>0</v>
      </c>
      <c r="AE90" s="305">
        <v>8</v>
      </c>
    </row>
    <row r="91" spans="2:31" ht="12.75">
      <c r="B91" s="291"/>
      <c r="C91" s="293"/>
      <c r="D91" s="298"/>
      <c r="E91" s="293" t="s">
        <v>186</v>
      </c>
      <c r="F91" s="305">
        <v>0</v>
      </c>
      <c r="G91" s="306">
        <v>0</v>
      </c>
      <c r="H91" s="307">
        <v>0</v>
      </c>
      <c r="I91" s="306">
        <v>0</v>
      </c>
      <c r="J91" s="309">
        <v>0</v>
      </c>
      <c r="K91" s="305">
        <v>0</v>
      </c>
      <c r="L91" s="306">
        <v>0</v>
      </c>
      <c r="M91" s="307">
        <v>0</v>
      </c>
      <c r="N91" s="306">
        <v>0</v>
      </c>
      <c r="O91" s="309">
        <v>0</v>
      </c>
      <c r="P91" s="305">
        <v>0</v>
      </c>
      <c r="Q91" s="306">
        <v>0</v>
      </c>
      <c r="R91" s="307">
        <v>0</v>
      </c>
      <c r="S91" s="306">
        <v>0</v>
      </c>
      <c r="T91" s="309">
        <v>0</v>
      </c>
      <c r="U91" s="308">
        <v>0</v>
      </c>
      <c r="V91" s="306">
        <v>0</v>
      </c>
      <c r="W91" s="307">
        <v>0</v>
      </c>
      <c r="X91" s="306">
        <v>0</v>
      </c>
      <c r="Y91" s="307">
        <v>0</v>
      </c>
      <c r="Z91" s="305">
        <v>0</v>
      </c>
      <c r="AA91" s="306">
        <v>0</v>
      </c>
      <c r="AB91" s="307">
        <v>0</v>
      </c>
      <c r="AC91" s="306">
        <v>0</v>
      </c>
      <c r="AD91" s="307">
        <v>0</v>
      </c>
      <c r="AE91" s="305">
        <v>0</v>
      </c>
    </row>
    <row r="92" spans="2:31" ht="12.75">
      <c r="B92" s="291"/>
      <c r="C92" s="293"/>
      <c r="D92" s="293"/>
      <c r="E92" s="293"/>
      <c r="F92" s="310"/>
      <c r="G92" s="311"/>
      <c r="H92" s="312"/>
      <c r="I92" s="311"/>
      <c r="J92" s="313"/>
      <c r="K92" s="310"/>
      <c r="L92" s="311"/>
      <c r="M92" s="312"/>
      <c r="N92" s="311"/>
      <c r="O92" s="313"/>
      <c r="P92" s="310"/>
      <c r="Q92" s="311"/>
      <c r="R92" s="312"/>
      <c r="S92" s="311"/>
      <c r="T92" s="313"/>
      <c r="U92" s="314"/>
      <c r="V92" s="311"/>
      <c r="W92" s="312"/>
      <c r="X92" s="311"/>
      <c r="Y92" s="312"/>
      <c r="Z92" s="310"/>
      <c r="AA92" s="311"/>
      <c r="AB92" s="312"/>
      <c r="AC92" s="311"/>
      <c r="AD92" s="312"/>
      <c r="AE92" s="310"/>
    </row>
    <row r="93" spans="2:31" ht="12.75">
      <c r="B93" s="291"/>
      <c r="C93" s="293"/>
      <c r="D93" s="298" t="s">
        <v>583</v>
      </c>
      <c r="E93" s="293"/>
      <c r="F93" s="310"/>
      <c r="G93" s="311"/>
      <c r="H93" s="312"/>
      <c r="I93" s="311"/>
      <c r="J93" s="313"/>
      <c r="K93" s="310"/>
      <c r="L93" s="311"/>
      <c r="M93" s="312"/>
      <c r="N93" s="311"/>
      <c r="O93" s="313"/>
      <c r="P93" s="310"/>
      <c r="Q93" s="311"/>
      <c r="R93" s="312"/>
      <c r="S93" s="311"/>
      <c r="T93" s="313"/>
      <c r="U93" s="314"/>
      <c r="V93" s="311"/>
      <c r="W93" s="312"/>
      <c r="X93" s="311"/>
      <c r="Y93" s="312"/>
      <c r="Z93" s="310"/>
      <c r="AA93" s="311"/>
      <c r="AB93" s="312"/>
      <c r="AC93" s="311"/>
      <c r="AD93" s="312"/>
      <c r="AE93" s="310"/>
    </row>
    <row r="94" spans="2:31" ht="12.75">
      <c r="B94" s="291"/>
      <c r="C94" s="293"/>
      <c r="D94" s="293"/>
      <c r="E94" s="293" t="s">
        <v>112</v>
      </c>
      <c r="F94" s="305">
        <v>0</v>
      </c>
      <c r="G94" s="306">
        <v>0</v>
      </c>
      <c r="H94" s="307">
        <v>0</v>
      </c>
      <c r="I94" s="306">
        <v>0</v>
      </c>
      <c r="J94" s="309">
        <v>0</v>
      </c>
      <c r="K94" s="305">
        <v>0</v>
      </c>
      <c r="L94" s="306">
        <v>0</v>
      </c>
      <c r="M94" s="307">
        <v>0</v>
      </c>
      <c r="N94" s="306">
        <v>0</v>
      </c>
      <c r="O94" s="309">
        <v>0</v>
      </c>
      <c r="P94" s="305">
        <v>0</v>
      </c>
      <c r="Q94" s="306">
        <v>0</v>
      </c>
      <c r="R94" s="307">
        <v>0</v>
      </c>
      <c r="S94" s="306">
        <v>0</v>
      </c>
      <c r="T94" s="309">
        <v>0</v>
      </c>
      <c r="U94" s="308">
        <v>0</v>
      </c>
      <c r="V94" s="306" t="s">
        <v>922</v>
      </c>
      <c r="W94" s="307">
        <v>0</v>
      </c>
      <c r="X94" s="306" t="s">
        <v>922</v>
      </c>
      <c r="Y94" s="307">
        <v>0</v>
      </c>
      <c r="Z94" s="305">
        <v>0</v>
      </c>
      <c r="AA94" s="306" t="s">
        <v>922</v>
      </c>
      <c r="AB94" s="307">
        <v>0</v>
      </c>
      <c r="AC94" s="306" t="s">
        <v>922</v>
      </c>
      <c r="AD94" s="307">
        <v>0</v>
      </c>
      <c r="AE94" s="305">
        <v>0</v>
      </c>
    </row>
    <row r="95" spans="2:31" ht="12.75">
      <c r="B95" s="291"/>
      <c r="C95" s="293"/>
      <c r="D95" s="298"/>
      <c r="E95" s="293"/>
      <c r="F95" s="310"/>
      <c r="G95" s="311"/>
      <c r="H95" s="312"/>
      <c r="I95" s="311"/>
      <c r="J95" s="313"/>
      <c r="K95" s="310"/>
      <c r="L95" s="311"/>
      <c r="M95" s="312"/>
      <c r="N95" s="311"/>
      <c r="O95" s="313"/>
      <c r="P95" s="310"/>
      <c r="Q95" s="311"/>
      <c r="R95" s="312"/>
      <c r="S95" s="311"/>
      <c r="T95" s="313"/>
      <c r="U95" s="314"/>
      <c r="V95" s="311"/>
      <c r="W95" s="312"/>
      <c r="X95" s="311"/>
      <c r="Y95" s="312"/>
      <c r="Z95" s="310"/>
      <c r="AA95" s="311"/>
      <c r="AB95" s="312"/>
      <c r="AC95" s="311"/>
      <c r="AD95" s="312"/>
      <c r="AE95" s="310"/>
    </row>
    <row r="96" spans="2:31" ht="12.75">
      <c r="B96" s="291"/>
      <c r="C96" s="293"/>
      <c r="D96" s="298" t="s">
        <v>391</v>
      </c>
      <c r="E96" s="293"/>
      <c r="F96" s="310"/>
      <c r="G96" s="311"/>
      <c r="H96" s="312"/>
      <c r="I96" s="311"/>
      <c r="J96" s="313"/>
      <c r="K96" s="310"/>
      <c r="L96" s="311"/>
      <c r="M96" s="312"/>
      <c r="N96" s="311"/>
      <c r="O96" s="313"/>
      <c r="P96" s="310"/>
      <c r="Q96" s="311"/>
      <c r="R96" s="312"/>
      <c r="S96" s="311"/>
      <c r="T96" s="313"/>
      <c r="U96" s="314"/>
      <c r="V96" s="311"/>
      <c r="W96" s="312"/>
      <c r="X96" s="311"/>
      <c r="Y96" s="312"/>
      <c r="Z96" s="310"/>
      <c r="AA96" s="311"/>
      <c r="AB96" s="312"/>
      <c r="AC96" s="311"/>
      <c r="AD96" s="312"/>
      <c r="AE96" s="310"/>
    </row>
    <row r="97" spans="2:31" ht="12.75">
      <c r="B97" s="291"/>
      <c r="C97" s="293"/>
      <c r="D97" s="298"/>
      <c r="E97" s="323" t="s">
        <v>113</v>
      </c>
      <c r="F97" s="305">
        <v>85</v>
      </c>
      <c r="G97" s="306">
        <v>0</v>
      </c>
      <c r="H97" s="307">
        <v>0</v>
      </c>
      <c r="I97" s="306">
        <v>0</v>
      </c>
      <c r="J97" s="309">
        <v>0</v>
      </c>
      <c r="K97" s="305">
        <v>85</v>
      </c>
      <c r="L97" s="306">
        <v>0</v>
      </c>
      <c r="M97" s="307">
        <v>0</v>
      </c>
      <c r="N97" s="306">
        <v>0</v>
      </c>
      <c r="O97" s="309">
        <v>0</v>
      </c>
      <c r="P97" s="305">
        <v>85</v>
      </c>
      <c r="Q97" s="306">
        <v>0</v>
      </c>
      <c r="R97" s="307">
        <v>0</v>
      </c>
      <c r="S97" s="306">
        <v>0</v>
      </c>
      <c r="T97" s="309">
        <v>0</v>
      </c>
      <c r="U97" s="308">
        <v>85</v>
      </c>
      <c r="V97" s="306">
        <v>0</v>
      </c>
      <c r="W97" s="307">
        <v>10</v>
      </c>
      <c r="X97" s="306">
        <v>0</v>
      </c>
      <c r="Y97" s="307">
        <v>10</v>
      </c>
      <c r="Z97" s="305">
        <v>85</v>
      </c>
      <c r="AA97" s="306">
        <v>0</v>
      </c>
      <c r="AB97" s="307">
        <v>4</v>
      </c>
      <c r="AC97" s="306">
        <v>3</v>
      </c>
      <c r="AD97" s="307">
        <v>4</v>
      </c>
      <c r="AE97" s="305">
        <v>88</v>
      </c>
    </row>
    <row r="98" spans="2:31" ht="12.75">
      <c r="B98" s="291"/>
      <c r="C98" s="293"/>
      <c r="D98" s="298"/>
      <c r="E98" s="323" t="s">
        <v>114</v>
      </c>
      <c r="F98" s="305">
        <v>307</v>
      </c>
      <c r="G98" s="306">
        <v>0</v>
      </c>
      <c r="H98" s="307">
        <v>0</v>
      </c>
      <c r="I98" s="306">
        <v>1</v>
      </c>
      <c r="J98" s="309">
        <v>0</v>
      </c>
      <c r="K98" s="305">
        <v>308</v>
      </c>
      <c r="L98" s="306">
        <v>4</v>
      </c>
      <c r="M98" s="307">
        <v>3</v>
      </c>
      <c r="N98" s="306">
        <v>1</v>
      </c>
      <c r="O98" s="309">
        <v>3</v>
      </c>
      <c r="P98" s="305">
        <v>305</v>
      </c>
      <c r="Q98" s="306">
        <v>0</v>
      </c>
      <c r="R98" s="307">
        <v>0</v>
      </c>
      <c r="S98" s="306">
        <v>0</v>
      </c>
      <c r="T98" s="309">
        <v>0</v>
      </c>
      <c r="U98" s="308">
        <v>305</v>
      </c>
      <c r="V98" s="306">
        <v>0</v>
      </c>
      <c r="W98" s="307">
        <v>18</v>
      </c>
      <c r="X98" s="306">
        <v>0</v>
      </c>
      <c r="Y98" s="307">
        <v>18</v>
      </c>
      <c r="Z98" s="305">
        <v>305</v>
      </c>
      <c r="AA98" s="306">
        <v>0</v>
      </c>
      <c r="AB98" s="307">
        <v>9</v>
      </c>
      <c r="AC98" s="306">
        <v>0</v>
      </c>
      <c r="AD98" s="307">
        <v>9</v>
      </c>
      <c r="AE98" s="305">
        <v>305</v>
      </c>
    </row>
    <row r="99" spans="2:31" ht="12.75">
      <c r="B99" s="291"/>
      <c r="C99" s="293"/>
      <c r="D99" s="298"/>
      <c r="E99" s="323" t="s">
        <v>115</v>
      </c>
      <c r="F99" s="305">
        <v>0</v>
      </c>
      <c r="G99" s="306">
        <v>0</v>
      </c>
      <c r="H99" s="307">
        <v>0</v>
      </c>
      <c r="I99" s="306">
        <v>0</v>
      </c>
      <c r="J99" s="309">
        <v>0</v>
      </c>
      <c r="K99" s="305">
        <v>0</v>
      </c>
      <c r="L99" s="306">
        <v>0</v>
      </c>
      <c r="M99" s="307">
        <v>0</v>
      </c>
      <c r="N99" s="306">
        <v>0</v>
      </c>
      <c r="O99" s="309">
        <v>0</v>
      </c>
      <c r="P99" s="305">
        <v>0</v>
      </c>
      <c r="Q99" s="306">
        <v>0</v>
      </c>
      <c r="R99" s="307">
        <v>0</v>
      </c>
      <c r="S99" s="306">
        <v>0</v>
      </c>
      <c r="T99" s="309">
        <v>0</v>
      </c>
      <c r="U99" s="308">
        <v>0</v>
      </c>
      <c r="V99" s="306">
        <v>0</v>
      </c>
      <c r="W99" s="307">
        <v>0</v>
      </c>
      <c r="X99" s="306">
        <v>0</v>
      </c>
      <c r="Y99" s="307">
        <v>0</v>
      </c>
      <c r="Z99" s="305">
        <v>0</v>
      </c>
      <c r="AA99" s="306">
        <v>0</v>
      </c>
      <c r="AB99" s="307">
        <v>0</v>
      </c>
      <c r="AC99" s="306">
        <v>0</v>
      </c>
      <c r="AD99" s="307">
        <v>0</v>
      </c>
      <c r="AE99" s="305">
        <v>0</v>
      </c>
    </row>
    <row r="100" spans="2:31" ht="12.75">
      <c r="B100" s="291"/>
      <c r="C100" s="293"/>
      <c r="D100" s="298"/>
      <c r="E100" s="323" t="s">
        <v>116</v>
      </c>
      <c r="F100" s="305">
        <v>0</v>
      </c>
      <c r="G100" s="306">
        <v>0</v>
      </c>
      <c r="H100" s="307">
        <v>0</v>
      </c>
      <c r="I100" s="306">
        <v>0</v>
      </c>
      <c r="J100" s="309">
        <v>0</v>
      </c>
      <c r="K100" s="305">
        <v>0</v>
      </c>
      <c r="L100" s="306">
        <v>0</v>
      </c>
      <c r="M100" s="307">
        <v>0</v>
      </c>
      <c r="N100" s="306">
        <v>0</v>
      </c>
      <c r="O100" s="309">
        <v>0</v>
      </c>
      <c r="P100" s="305">
        <v>0</v>
      </c>
      <c r="Q100" s="306">
        <v>0</v>
      </c>
      <c r="R100" s="307">
        <v>0</v>
      </c>
      <c r="S100" s="306">
        <v>0</v>
      </c>
      <c r="T100" s="309">
        <v>0</v>
      </c>
      <c r="U100" s="308">
        <v>0</v>
      </c>
      <c r="V100" s="306">
        <v>0</v>
      </c>
      <c r="W100" s="307">
        <v>0</v>
      </c>
      <c r="X100" s="306">
        <v>0</v>
      </c>
      <c r="Y100" s="307">
        <v>0</v>
      </c>
      <c r="Z100" s="305">
        <v>0</v>
      </c>
      <c r="AA100" s="306">
        <v>0</v>
      </c>
      <c r="AB100" s="307">
        <v>0</v>
      </c>
      <c r="AC100" s="306">
        <v>0</v>
      </c>
      <c r="AD100" s="307">
        <v>0</v>
      </c>
      <c r="AE100" s="305">
        <v>0</v>
      </c>
    </row>
    <row r="101" spans="2:31" ht="12.75">
      <c r="B101" s="291"/>
      <c r="C101" s="293"/>
      <c r="D101" s="298"/>
      <c r="E101" s="323" t="s">
        <v>117</v>
      </c>
      <c r="F101" s="305">
        <v>0</v>
      </c>
      <c r="G101" s="306">
        <v>0</v>
      </c>
      <c r="H101" s="307">
        <v>0</v>
      </c>
      <c r="I101" s="306">
        <v>0</v>
      </c>
      <c r="J101" s="309">
        <v>0</v>
      </c>
      <c r="K101" s="305">
        <v>0</v>
      </c>
      <c r="L101" s="306">
        <v>0</v>
      </c>
      <c r="M101" s="307">
        <v>0</v>
      </c>
      <c r="N101" s="306">
        <v>0</v>
      </c>
      <c r="O101" s="309">
        <v>0</v>
      </c>
      <c r="P101" s="305">
        <v>0</v>
      </c>
      <c r="Q101" s="306">
        <v>0</v>
      </c>
      <c r="R101" s="307">
        <v>0</v>
      </c>
      <c r="S101" s="306">
        <v>0</v>
      </c>
      <c r="T101" s="309">
        <v>0</v>
      </c>
      <c r="U101" s="308">
        <v>0</v>
      </c>
      <c r="V101" s="306">
        <v>0</v>
      </c>
      <c r="W101" s="307">
        <v>0</v>
      </c>
      <c r="X101" s="306">
        <v>0</v>
      </c>
      <c r="Y101" s="307">
        <v>0</v>
      </c>
      <c r="Z101" s="305">
        <v>0</v>
      </c>
      <c r="AA101" s="306">
        <v>0</v>
      </c>
      <c r="AB101" s="307">
        <v>0</v>
      </c>
      <c r="AC101" s="306">
        <v>0</v>
      </c>
      <c r="AD101" s="307">
        <v>0</v>
      </c>
      <c r="AE101" s="305">
        <v>0</v>
      </c>
    </row>
    <row r="102" spans="2:31" ht="12.75">
      <c r="B102" s="291"/>
      <c r="C102" s="293"/>
      <c r="D102" s="298"/>
      <c r="E102" s="323" t="s">
        <v>118</v>
      </c>
      <c r="F102" s="305">
        <v>1438</v>
      </c>
      <c r="G102" s="306">
        <v>0</v>
      </c>
      <c r="H102" s="307">
        <v>0</v>
      </c>
      <c r="I102" s="306">
        <v>0</v>
      </c>
      <c r="J102" s="309">
        <v>0</v>
      </c>
      <c r="K102" s="305">
        <v>1438</v>
      </c>
      <c r="L102" s="306">
        <v>0</v>
      </c>
      <c r="M102" s="307">
        <v>0</v>
      </c>
      <c r="N102" s="306">
        <v>0</v>
      </c>
      <c r="O102" s="309">
        <v>0</v>
      </c>
      <c r="P102" s="305">
        <v>1438</v>
      </c>
      <c r="Q102" s="306">
        <v>0</v>
      </c>
      <c r="R102" s="307">
        <v>0</v>
      </c>
      <c r="S102" s="306">
        <v>0</v>
      </c>
      <c r="T102" s="309">
        <v>6</v>
      </c>
      <c r="U102" s="308">
        <v>1444</v>
      </c>
      <c r="V102" s="306">
        <v>0</v>
      </c>
      <c r="W102" s="307">
        <v>0</v>
      </c>
      <c r="X102" s="306">
        <v>0</v>
      </c>
      <c r="Y102" s="307">
        <v>0</v>
      </c>
      <c r="Z102" s="305">
        <v>1444</v>
      </c>
      <c r="AA102" s="306">
        <v>0</v>
      </c>
      <c r="AB102" s="307">
        <v>0</v>
      </c>
      <c r="AC102" s="306">
        <v>0</v>
      </c>
      <c r="AD102" s="307">
        <v>0</v>
      </c>
      <c r="AE102" s="305">
        <v>1444</v>
      </c>
    </row>
    <row r="103" spans="2:31" ht="12.75">
      <c r="B103" s="291"/>
      <c r="C103" s="293"/>
      <c r="D103" s="298"/>
      <c r="E103" s="323" t="s">
        <v>119</v>
      </c>
      <c r="F103" s="305">
        <v>71</v>
      </c>
      <c r="G103" s="306">
        <v>0</v>
      </c>
      <c r="H103" s="307">
        <v>0</v>
      </c>
      <c r="I103" s="306">
        <v>0</v>
      </c>
      <c r="J103" s="309">
        <v>0</v>
      </c>
      <c r="K103" s="305">
        <v>71</v>
      </c>
      <c r="L103" s="306">
        <v>0</v>
      </c>
      <c r="M103" s="307">
        <v>0</v>
      </c>
      <c r="N103" s="306">
        <v>0</v>
      </c>
      <c r="O103" s="309">
        <v>1</v>
      </c>
      <c r="P103" s="305">
        <v>72</v>
      </c>
      <c r="Q103" s="306">
        <v>0</v>
      </c>
      <c r="R103" s="307">
        <v>0</v>
      </c>
      <c r="S103" s="306">
        <v>0</v>
      </c>
      <c r="T103" s="309">
        <v>5</v>
      </c>
      <c r="U103" s="308">
        <v>77</v>
      </c>
      <c r="V103" s="306">
        <v>0</v>
      </c>
      <c r="W103" s="307">
        <v>0</v>
      </c>
      <c r="X103" s="306">
        <v>0</v>
      </c>
      <c r="Y103" s="307">
        <v>0</v>
      </c>
      <c r="Z103" s="305">
        <v>77</v>
      </c>
      <c r="AA103" s="306">
        <v>0</v>
      </c>
      <c r="AB103" s="307">
        <v>0</v>
      </c>
      <c r="AC103" s="306">
        <v>0</v>
      </c>
      <c r="AD103" s="307">
        <v>0</v>
      </c>
      <c r="AE103" s="305">
        <v>77</v>
      </c>
    </row>
    <row r="104" spans="2:31" ht="12.75">
      <c r="B104" s="291"/>
      <c r="C104" s="293"/>
      <c r="D104" s="298"/>
      <c r="E104" s="323" t="s">
        <v>120</v>
      </c>
      <c r="F104" s="305">
        <v>561</v>
      </c>
      <c r="G104" s="306">
        <v>0</v>
      </c>
      <c r="H104" s="307">
        <v>0</v>
      </c>
      <c r="I104" s="306">
        <v>0</v>
      </c>
      <c r="J104" s="309">
        <v>0</v>
      </c>
      <c r="K104" s="305">
        <v>561</v>
      </c>
      <c r="L104" s="306">
        <v>0</v>
      </c>
      <c r="M104" s="307">
        <v>0</v>
      </c>
      <c r="N104" s="306">
        <v>0</v>
      </c>
      <c r="O104" s="309">
        <v>0</v>
      </c>
      <c r="P104" s="305">
        <v>561</v>
      </c>
      <c r="Q104" s="306">
        <v>0</v>
      </c>
      <c r="R104" s="307">
        <v>0</v>
      </c>
      <c r="S104" s="306">
        <v>0</v>
      </c>
      <c r="T104" s="309">
        <v>14</v>
      </c>
      <c r="U104" s="308">
        <v>575</v>
      </c>
      <c r="V104" s="306">
        <v>0</v>
      </c>
      <c r="W104" s="307">
        <v>0</v>
      </c>
      <c r="X104" s="306">
        <v>0</v>
      </c>
      <c r="Y104" s="307">
        <v>0</v>
      </c>
      <c r="Z104" s="305">
        <v>575</v>
      </c>
      <c r="AA104" s="306">
        <v>0</v>
      </c>
      <c r="AB104" s="307">
        <v>0</v>
      </c>
      <c r="AC104" s="306">
        <v>0</v>
      </c>
      <c r="AD104" s="307">
        <v>0</v>
      </c>
      <c r="AE104" s="305">
        <v>575</v>
      </c>
    </row>
    <row r="105" spans="2:31" ht="12.75">
      <c r="B105" s="291"/>
      <c r="C105" s="293"/>
      <c r="D105" s="298"/>
      <c r="E105" s="293"/>
      <c r="F105" s="310"/>
      <c r="G105" s="311"/>
      <c r="H105" s="312"/>
      <c r="I105" s="311"/>
      <c r="J105" s="313"/>
      <c r="K105" s="310"/>
      <c r="L105" s="311"/>
      <c r="M105" s="312"/>
      <c r="N105" s="311"/>
      <c r="O105" s="313"/>
      <c r="P105" s="310"/>
      <c r="Q105" s="311"/>
      <c r="R105" s="312"/>
      <c r="S105" s="311"/>
      <c r="T105" s="313"/>
      <c r="U105" s="314"/>
      <c r="V105" s="311"/>
      <c r="W105" s="312"/>
      <c r="X105" s="311"/>
      <c r="Y105" s="312"/>
      <c r="Z105" s="310"/>
      <c r="AA105" s="311"/>
      <c r="AB105" s="312"/>
      <c r="AC105" s="311"/>
      <c r="AD105" s="312"/>
      <c r="AE105" s="310"/>
    </row>
    <row r="106" spans="2:31" ht="12.75">
      <c r="B106" s="291"/>
      <c r="C106" s="293"/>
      <c r="D106" s="298" t="s">
        <v>146</v>
      </c>
      <c r="E106" s="293"/>
      <c r="F106" s="310"/>
      <c r="G106" s="311"/>
      <c r="H106" s="312"/>
      <c r="I106" s="311"/>
      <c r="J106" s="313"/>
      <c r="K106" s="310"/>
      <c r="L106" s="311"/>
      <c r="M106" s="312"/>
      <c r="N106" s="311"/>
      <c r="O106" s="313"/>
      <c r="P106" s="310"/>
      <c r="Q106" s="311"/>
      <c r="R106" s="312"/>
      <c r="S106" s="311"/>
      <c r="T106" s="313"/>
      <c r="U106" s="314"/>
      <c r="V106" s="311"/>
      <c r="W106" s="312"/>
      <c r="X106" s="311"/>
      <c r="Y106" s="312"/>
      <c r="Z106" s="310"/>
      <c r="AA106" s="311"/>
      <c r="AB106" s="312"/>
      <c r="AC106" s="311"/>
      <c r="AD106" s="312"/>
      <c r="AE106" s="310"/>
    </row>
    <row r="107" spans="2:31" ht="12.75">
      <c r="B107" s="291"/>
      <c r="C107" s="293"/>
      <c r="D107" s="293"/>
      <c r="E107" s="323" t="s">
        <v>121</v>
      </c>
      <c r="F107" s="305">
        <v>3</v>
      </c>
      <c r="G107" s="306">
        <v>0</v>
      </c>
      <c r="H107" s="307">
        <v>0</v>
      </c>
      <c r="I107" s="306">
        <v>0</v>
      </c>
      <c r="J107" s="309">
        <v>0</v>
      </c>
      <c r="K107" s="305">
        <v>3</v>
      </c>
      <c r="L107" s="306">
        <v>0</v>
      </c>
      <c r="M107" s="307">
        <v>0</v>
      </c>
      <c r="N107" s="306">
        <v>0</v>
      </c>
      <c r="O107" s="309">
        <v>0</v>
      </c>
      <c r="P107" s="305">
        <v>3</v>
      </c>
      <c r="Q107" s="306">
        <v>0</v>
      </c>
      <c r="R107" s="307">
        <v>0</v>
      </c>
      <c r="S107" s="306">
        <v>0</v>
      </c>
      <c r="T107" s="309">
        <v>0</v>
      </c>
      <c r="U107" s="308">
        <v>3</v>
      </c>
      <c r="V107" s="306">
        <v>0</v>
      </c>
      <c r="W107" s="307">
        <v>0</v>
      </c>
      <c r="X107" s="306">
        <v>0</v>
      </c>
      <c r="Y107" s="307">
        <v>0</v>
      </c>
      <c r="Z107" s="305">
        <v>3</v>
      </c>
      <c r="AA107" s="306">
        <v>0</v>
      </c>
      <c r="AB107" s="307">
        <v>0</v>
      </c>
      <c r="AC107" s="306">
        <v>0</v>
      </c>
      <c r="AD107" s="307">
        <v>0</v>
      </c>
      <c r="AE107" s="305">
        <v>3</v>
      </c>
    </row>
    <row r="108" spans="2:31" ht="12.75">
      <c r="B108" s="291"/>
      <c r="C108" s="293"/>
      <c r="D108" s="293"/>
      <c r="E108" s="323" t="s">
        <v>122</v>
      </c>
      <c r="F108" s="305">
        <v>208</v>
      </c>
      <c r="G108" s="306">
        <v>4</v>
      </c>
      <c r="H108" s="307">
        <v>0</v>
      </c>
      <c r="I108" s="306">
        <v>0</v>
      </c>
      <c r="J108" s="309">
        <v>0</v>
      </c>
      <c r="K108" s="305">
        <v>204</v>
      </c>
      <c r="L108" s="306">
        <v>0</v>
      </c>
      <c r="M108" s="307">
        <v>0</v>
      </c>
      <c r="N108" s="306">
        <v>0</v>
      </c>
      <c r="O108" s="309">
        <v>0</v>
      </c>
      <c r="P108" s="305">
        <v>204</v>
      </c>
      <c r="Q108" s="306">
        <v>2</v>
      </c>
      <c r="R108" s="307">
        <v>1</v>
      </c>
      <c r="S108" s="306">
        <v>1</v>
      </c>
      <c r="T108" s="309">
        <v>1</v>
      </c>
      <c r="U108" s="308">
        <v>203</v>
      </c>
      <c r="V108" s="306">
        <v>0</v>
      </c>
      <c r="W108" s="307">
        <v>16</v>
      </c>
      <c r="X108" s="306">
        <v>0</v>
      </c>
      <c r="Y108" s="307">
        <v>16</v>
      </c>
      <c r="Z108" s="305">
        <v>203</v>
      </c>
      <c r="AA108" s="306">
        <v>2</v>
      </c>
      <c r="AB108" s="307">
        <v>0</v>
      </c>
      <c r="AC108" s="306">
        <v>2</v>
      </c>
      <c r="AD108" s="307">
        <v>0</v>
      </c>
      <c r="AE108" s="305">
        <v>203</v>
      </c>
    </row>
    <row r="109" spans="2:31" ht="12.75">
      <c r="B109" s="291"/>
      <c r="C109" s="293"/>
      <c r="D109" s="293"/>
      <c r="E109" s="293" t="s">
        <v>79</v>
      </c>
      <c r="F109" s="305">
        <v>190</v>
      </c>
      <c r="G109" s="306">
        <v>0</v>
      </c>
      <c r="H109" s="307">
        <v>0</v>
      </c>
      <c r="I109" s="306">
        <v>0</v>
      </c>
      <c r="J109" s="309">
        <v>0</v>
      </c>
      <c r="K109" s="305">
        <v>190</v>
      </c>
      <c r="L109" s="306">
        <v>0</v>
      </c>
      <c r="M109" s="307">
        <v>0</v>
      </c>
      <c r="N109" s="306">
        <v>0</v>
      </c>
      <c r="O109" s="309">
        <v>0</v>
      </c>
      <c r="P109" s="305">
        <v>190</v>
      </c>
      <c r="Q109" s="306">
        <v>0</v>
      </c>
      <c r="R109" s="307">
        <v>0</v>
      </c>
      <c r="S109" s="306">
        <v>0</v>
      </c>
      <c r="T109" s="309">
        <v>3</v>
      </c>
      <c r="U109" s="308">
        <v>193</v>
      </c>
      <c r="V109" s="306">
        <v>0</v>
      </c>
      <c r="W109" s="307">
        <v>0</v>
      </c>
      <c r="X109" s="306">
        <v>0</v>
      </c>
      <c r="Y109" s="307">
        <v>0</v>
      </c>
      <c r="Z109" s="305">
        <v>193</v>
      </c>
      <c r="AA109" s="306">
        <v>0</v>
      </c>
      <c r="AB109" s="307">
        <v>0</v>
      </c>
      <c r="AC109" s="306">
        <v>0</v>
      </c>
      <c r="AD109" s="307">
        <v>0</v>
      </c>
      <c r="AE109" s="305">
        <v>193</v>
      </c>
    </row>
    <row r="110" spans="2:31" ht="12.75">
      <c r="B110" s="291"/>
      <c r="C110" s="293"/>
      <c r="D110" s="293"/>
      <c r="E110" s="323" t="s">
        <v>203</v>
      </c>
      <c r="F110" s="305">
        <v>78</v>
      </c>
      <c r="G110" s="306">
        <v>0</v>
      </c>
      <c r="H110" s="307">
        <v>0</v>
      </c>
      <c r="I110" s="306">
        <v>0</v>
      </c>
      <c r="J110" s="309">
        <v>1</v>
      </c>
      <c r="K110" s="305">
        <v>79</v>
      </c>
      <c r="L110" s="306">
        <v>0</v>
      </c>
      <c r="M110" s="307">
        <v>0</v>
      </c>
      <c r="N110" s="306">
        <v>0</v>
      </c>
      <c r="O110" s="309">
        <v>1</v>
      </c>
      <c r="P110" s="305">
        <v>80</v>
      </c>
      <c r="Q110" s="306">
        <v>0</v>
      </c>
      <c r="R110" s="307">
        <v>4</v>
      </c>
      <c r="S110" s="306">
        <v>1</v>
      </c>
      <c r="T110" s="309">
        <v>5</v>
      </c>
      <c r="U110" s="308">
        <v>82</v>
      </c>
      <c r="V110" s="306">
        <v>0</v>
      </c>
      <c r="W110" s="307">
        <v>3</v>
      </c>
      <c r="X110" s="306">
        <v>0</v>
      </c>
      <c r="Y110" s="307">
        <v>3</v>
      </c>
      <c r="Z110" s="305">
        <v>82</v>
      </c>
      <c r="AA110" s="306">
        <v>0</v>
      </c>
      <c r="AB110" s="307">
        <v>0</v>
      </c>
      <c r="AC110" s="306">
        <v>0</v>
      </c>
      <c r="AD110" s="307">
        <v>0</v>
      </c>
      <c r="AE110" s="305">
        <v>82</v>
      </c>
    </row>
    <row r="111" spans="2:31" ht="12.75">
      <c r="B111" s="291"/>
      <c r="C111" s="293"/>
      <c r="D111" s="298"/>
      <c r="E111" s="293" t="s">
        <v>338</v>
      </c>
      <c r="F111" s="305">
        <v>42</v>
      </c>
      <c r="G111" s="306">
        <v>0</v>
      </c>
      <c r="H111" s="307">
        <v>0</v>
      </c>
      <c r="I111" s="306">
        <v>0</v>
      </c>
      <c r="J111" s="309">
        <v>0</v>
      </c>
      <c r="K111" s="305">
        <v>42</v>
      </c>
      <c r="L111" s="306">
        <v>0</v>
      </c>
      <c r="M111" s="307">
        <v>0</v>
      </c>
      <c r="N111" s="306">
        <v>0</v>
      </c>
      <c r="O111" s="309">
        <v>0</v>
      </c>
      <c r="P111" s="305">
        <v>42</v>
      </c>
      <c r="Q111" s="306">
        <v>0</v>
      </c>
      <c r="R111" s="307">
        <v>0</v>
      </c>
      <c r="S111" s="306">
        <v>0</v>
      </c>
      <c r="T111" s="309">
        <v>4</v>
      </c>
      <c r="U111" s="308">
        <v>46</v>
      </c>
      <c r="V111" s="306">
        <v>0</v>
      </c>
      <c r="W111" s="307">
        <v>0</v>
      </c>
      <c r="X111" s="306">
        <v>0</v>
      </c>
      <c r="Y111" s="307">
        <v>0</v>
      </c>
      <c r="Z111" s="305">
        <v>46</v>
      </c>
      <c r="AA111" s="306">
        <v>0</v>
      </c>
      <c r="AB111" s="307">
        <v>0</v>
      </c>
      <c r="AC111" s="306">
        <v>0</v>
      </c>
      <c r="AD111" s="307">
        <v>0</v>
      </c>
      <c r="AE111" s="305">
        <v>46</v>
      </c>
    </row>
    <row r="112" spans="2:31" ht="13.5" thickBot="1">
      <c r="B112" s="289"/>
      <c r="C112" s="290"/>
      <c r="D112" s="290"/>
      <c r="E112" s="290"/>
      <c r="F112" s="315"/>
      <c r="G112" s="316"/>
      <c r="H112" s="317"/>
      <c r="I112" s="316"/>
      <c r="J112" s="318"/>
      <c r="K112" s="319"/>
      <c r="L112" s="316"/>
      <c r="M112" s="317"/>
      <c r="N112" s="316"/>
      <c r="O112" s="318"/>
      <c r="P112" s="319"/>
      <c r="Q112" s="316"/>
      <c r="R112" s="317"/>
      <c r="S112" s="316"/>
      <c r="T112" s="318"/>
      <c r="U112" s="320"/>
      <c r="V112" s="316"/>
      <c r="W112" s="317"/>
      <c r="X112" s="316"/>
      <c r="Y112" s="317"/>
      <c r="Z112" s="319"/>
      <c r="AA112" s="316"/>
      <c r="AB112" s="317"/>
      <c r="AC112" s="316"/>
      <c r="AD112" s="317"/>
      <c r="AE112" s="319"/>
    </row>
    <row r="113" spans="2:31" ht="12.75">
      <c r="B113" s="321"/>
      <c r="C113" s="322" t="s">
        <v>339</v>
      </c>
      <c r="D113" s="322"/>
      <c r="E113" s="323"/>
      <c r="F113" s="310"/>
      <c r="G113" s="311"/>
      <c r="H113" s="312"/>
      <c r="I113" s="311"/>
      <c r="J113" s="313"/>
      <c r="K113" s="310"/>
      <c r="L113" s="311"/>
      <c r="M113" s="312"/>
      <c r="N113" s="311"/>
      <c r="O113" s="313"/>
      <c r="P113" s="310"/>
      <c r="Q113" s="311"/>
      <c r="R113" s="312"/>
      <c r="S113" s="311"/>
      <c r="T113" s="313"/>
      <c r="U113" s="314"/>
      <c r="V113" s="311"/>
      <c r="W113" s="312"/>
      <c r="X113" s="311"/>
      <c r="Y113" s="312"/>
      <c r="Z113" s="310"/>
      <c r="AA113" s="311"/>
      <c r="AB113" s="312"/>
      <c r="AC113" s="311"/>
      <c r="AD113" s="312"/>
      <c r="AE113" s="310"/>
    </row>
    <row r="114" spans="2:31" ht="12.75">
      <c r="B114" s="291"/>
      <c r="C114" s="293"/>
      <c r="D114" s="298" t="s">
        <v>320</v>
      </c>
      <c r="E114" s="293"/>
      <c r="F114" s="310"/>
      <c r="G114" s="311"/>
      <c r="H114" s="312"/>
      <c r="I114" s="311"/>
      <c r="J114" s="313"/>
      <c r="K114" s="310"/>
      <c r="L114" s="311"/>
      <c r="M114" s="312"/>
      <c r="N114" s="311"/>
      <c r="O114" s="313"/>
      <c r="P114" s="310"/>
      <c r="Q114" s="311"/>
      <c r="R114" s="312"/>
      <c r="S114" s="311"/>
      <c r="T114" s="313"/>
      <c r="U114" s="314"/>
      <c r="V114" s="311"/>
      <c r="W114" s="312"/>
      <c r="X114" s="311"/>
      <c r="Y114" s="312"/>
      <c r="Z114" s="310"/>
      <c r="AA114" s="311"/>
      <c r="AB114" s="312"/>
      <c r="AC114" s="311"/>
      <c r="AD114" s="312"/>
      <c r="AE114" s="310"/>
    </row>
    <row r="115" spans="2:31" ht="12.75">
      <c r="B115" s="291"/>
      <c r="C115" s="293"/>
      <c r="D115" s="298"/>
      <c r="E115" s="293" t="s">
        <v>340</v>
      </c>
      <c r="F115" s="305">
        <v>0</v>
      </c>
      <c r="G115" s="306">
        <v>0</v>
      </c>
      <c r="H115" s="307">
        <v>0</v>
      </c>
      <c r="I115" s="306">
        <v>0</v>
      </c>
      <c r="J115" s="309">
        <v>0</v>
      </c>
      <c r="K115" s="305">
        <v>0</v>
      </c>
      <c r="L115" s="306">
        <v>0</v>
      </c>
      <c r="M115" s="307">
        <v>0</v>
      </c>
      <c r="N115" s="306">
        <v>0</v>
      </c>
      <c r="O115" s="309">
        <v>0</v>
      </c>
      <c r="P115" s="305">
        <v>0</v>
      </c>
      <c r="Q115" s="306">
        <v>0</v>
      </c>
      <c r="R115" s="307">
        <v>0</v>
      </c>
      <c r="S115" s="306">
        <v>0</v>
      </c>
      <c r="T115" s="309">
        <v>0</v>
      </c>
      <c r="U115" s="308">
        <v>0</v>
      </c>
      <c r="V115" s="306">
        <v>0</v>
      </c>
      <c r="W115" s="307">
        <v>0</v>
      </c>
      <c r="X115" s="306">
        <v>0</v>
      </c>
      <c r="Y115" s="307">
        <v>0</v>
      </c>
      <c r="Z115" s="305">
        <v>0</v>
      </c>
      <c r="AA115" s="306">
        <v>0</v>
      </c>
      <c r="AB115" s="307">
        <v>0</v>
      </c>
      <c r="AC115" s="306">
        <v>0</v>
      </c>
      <c r="AD115" s="307">
        <v>0</v>
      </c>
      <c r="AE115" s="305">
        <v>0</v>
      </c>
    </row>
    <row r="116" spans="2:31" ht="12.75">
      <c r="B116" s="291"/>
      <c r="C116" s="293"/>
      <c r="D116" s="298"/>
      <c r="E116" s="293" t="s">
        <v>341</v>
      </c>
      <c r="F116" s="305">
        <v>1403</v>
      </c>
      <c r="G116" s="306">
        <v>11</v>
      </c>
      <c r="H116" s="307">
        <v>0</v>
      </c>
      <c r="I116" s="306">
        <v>0</v>
      </c>
      <c r="J116" s="309">
        <v>0</v>
      </c>
      <c r="K116" s="305">
        <v>1392</v>
      </c>
      <c r="L116" s="306">
        <v>0</v>
      </c>
      <c r="M116" s="307">
        <v>2</v>
      </c>
      <c r="N116" s="306">
        <v>0</v>
      </c>
      <c r="O116" s="309">
        <v>2</v>
      </c>
      <c r="P116" s="305">
        <v>1392</v>
      </c>
      <c r="Q116" s="306">
        <v>24</v>
      </c>
      <c r="R116" s="307">
        <v>0</v>
      </c>
      <c r="S116" s="306">
        <v>0</v>
      </c>
      <c r="T116" s="309">
        <v>0</v>
      </c>
      <c r="U116" s="308">
        <v>1368</v>
      </c>
      <c r="V116" s="306">
        <v>0</v>
      </c>
      <c r="W116" s="307">
        <v>200</v>
      </c>
      <c r="X116" s="306">
        <v>0</v>
      </c>
      <c r="Y116" s="307">
        <v>200</v>
      </c>
      <c r="Z116" s="305">
        <v>1368</v>
      </c>
      <c r="AA116" s="306">
        <v>0</v>
      </c>
      <c r="AB116" s="307">
        <v>46</v>
      </c>
      <c r="AC116" s="306">
        <v>0</v>
      </c>
      <c r="AD116" s="307">
        <v>46</v>
      </c>
      <c r="AE116" s="305">
        <v>1368</v>
      </c>
    </row>
    <row r="117" spans="2:31" ht="12.75">
      <c r="B117" s="291"/>
      <c r="C117" s="293"/>
      <c r="D117" s="298"/>
      <c r="E117" s="323"/>
      <c r="F117" s="310"/>
      <c r="G117" s="311"/>
      <c r="H117" s="312"/>
      <c r="I117" s="311"/>
      <c r="J117" s="313"/>
      <c r="K117" s="310"/>
      <c r="L117" s="311"/>
      <c r="M117" s="312"/>
      <c r="N117" s="311"/>
      <c r="O117" s="313"/>
      <c r="P117" s="310"/>
      <c r="Q117" s="311"/>
      <c r="R117" s="312"/>
      <c r="S117" s="311"/>
      <c r="T117" s="313"/>
      <c r="U117" s="314"/>
      <c r="V117" s="311"/>
      <c r="W117" s="312"/>
      <c r="X117" s="311"/>
      <c r="Y117" s="312"/>
      <c r="Z117" s="310"/>
      <c r="AA117" s="311"/>
      <c r="AB117" s="312"/>
      <c r="AC117" s="311"/>
      <c r="AD117" s="312"/>
      <c r="AE117" s="310"/>
    </row>
    <row r="118" spans="2:31" ht="12.75">
      <c r="B118" s="291"/>
      <c r="C118" s="293"/>
      <c r="D118" s="298" t="s">
        <v>520</v>
      </c>
      <c r="E118" s="293"/>
      <c r="F118" s="310"/>
      <c r="G118" s="311"/>
      <c r="H118" s="312"/>
      <c r="I118" s="311"/>
      <c r="J118" s="313"/>
      <c r="K118" s="310"/>
      <c r="L118" s="311"/>
      <c r="M118" s="312"/>
      <c r="N118" s="311"/>
      <c r="O118" s="313"/>
      <c r="P118" s="310"/>
      <c r="Q118" s="311"/>
      <c r="R118" s="312"/>
      <c r="S118" s="311"/>
      <c r="T118" s="313"/>
      <c r="U118" s="314"/>
      <c r="V118" s="311"/>
      <c r="W118" s="312"/>
      <c r="X118" s="311"/>
      <c r="Y118" s="312"/>
      <c r="Z118" s="310"/>
      <c r="AA118" s="311"/>
      <c r="AB118" s="312"/>
      <c r="AC118" s="311"/>
      <c r="AD118" s="312"/>
      <c r="AE118" s="310"/>
    </row>
    <row r="119" spans="2:31" ht="12.75">
      <c r="B119" s="291"/>
      <c r="C119" s="293"/>
      <c r="D119" s="298"/>
      <c r="E119" s="293" t="s">
        <v>342</v>
      </c>
      <c r="F119" s="305">
        <v>843</v>
      </c>
      <c r="G119" s="306">
        <v>0</v>
      </c>
      <c r="H119" s="307">
        <v>0</v>
      </c>
      <c r="I119" s="306">
        <v>0</v>
      </c>
      <c r="J119" s="309">
        <v>0</v>
      </c>
      <c r="K119" s="305">
        <v>843</v>
      </c>
      <c r="L119" s="306">
        <v>0</v>
      </c>
      <c r="M119" s="307">
        <v>0</v>
      </c>
      <c r="N119" s="306">
        <v>0</v>
      </c>
      <c r="O119" s="309">
        <v>0</v>
      </c>
      <c r="P119" s="305">
        <v>843</v>
      </c>
      <c r="Q119" s="306">
        <v>0</v>
      </c>
      <c r="R119" s="307">
        <v>0</v>
      </c>
      <c r="S119" s="306">
        <v>0</v>
      </c>
      <c r="T119" s="309">
        <v>0</v>
      </c>
      <c r="U119" s="308">
        <v>843</v>
      </c>
      <c r="V119" s="306">
        <v>0</v>
      </c>
      <c r="W119" s="307">
        <v>0</v>
      </c>
      <c r="X119" s="306">
        <v>0</v>
      </c>
      <c r="Y119" s="307">
        <v>0</v>
      </c>
      <c r="Z119" s="305">
        <v>843</v>
      </c>
      <c r="AA119" s="306">
        <v>0</v>
      </c>
      <c r="AB119" s="307">
        <v>0</v>
      </c>
      <c r="AC119" s="306">
        <v>0</v>
      </c>
      <c r="AD119" s="307">
        <v>0</v>
      </c>
      <c r="AE119" s="305">
        <v>843</v>
      </c>
    </row>
    <row r="120" spans="2:31" ht="12.75">
      <c r="B120" s="291"/>
      <c r="C120" s="293"/>
      <c r="D120" s="298"/>
      <c r="E120" s="293" t="s">
        <v>343</v>
      </c>
      <c r="F120" s="305">
        <v>2799</v>
      </c>
      <c r="G120" s="306">
        <v>23</v>
      </c>
      <c r="H120" s="307">
        <v>0</v>
      </c>
      <c r="I120" s="306">
        <v>0</v>
      </c>
      <c r="J120" s="309">
        <v>0</v>
      </c>
      <c r="K120" s="305">
        <v>2776</v>
      </c>
      <c r="L120" s="306">
        <v>0</v>
      </c>
      <c r="M120" s="307">
        <v>0</v>
      </c>
      <c r="N120" s="306">
        <v>0</v>
      </c>
      <c r="O120" s="309">
        <v>0</v>
      </c>
      <c r="P120" s="305">
        <v>2776</v>
      </c>
      <c r="Q120" s="306">
        <v>0</v>
      </c>
      <c r="R120" s="307">
        <v>0</v>
      </c>
      <c r="S120" s="306">
        <v>0</v>
      </c>
      <c r="T120" s="309">
        <v>0</v>
      </c>
      <c r="U120" s="308">
        <v>2776</v>
      </c>
      <c r="V120" s="306">
        <v>0</v>
      </c>
      <c r="W120" s="307">
        <v>50</v>
      </c>
      <c r="X120" s="306">
        <v>0</v>
      </c>
      <c r="Y120" s="307">
        <v>50</v>
      </c>
      <c r="Z120" s="305">
        <v>2776</v>
      </c>
      <c r="AA120" s="306">
        <v>0</v>
      </c>
      <c r="AB120" s="307">
        <v>9</v>
      </c>
      <c r="AC120" s="306">
        <v>0</v>
      </c>
      <c r="AD120" s="307">
        <v>9</v>
      </c>
      <c r="AE120" s="305">
        <v>2776</v>
      </c>
    </row>
    <row r="121" spans="2:31" ht="12.75">
      <c r="B121" s="291"/>
      <c r="C121" s="293"/>
      <c r="D121" s="298"/>
      <c r="E121" s="323" t="s">
        <v>197</v>
      </c>
      <c r="F121" s="305">
        <v>4787</v>
      </c>
      <c r="G121" s="306">
        <v>0</v>
      </c>
      <c r="H121" s="307">
        <v>0</v>
      </c>
      <c r="I121" s="306">
        <v>0</v>
      </c>
      <c r="J121" s="309">
        <v>0</v>
      </c>
      <c r="K121" s="305">
        <v>4787</v>
      </c>
      <c r="L121" s="306">
        <v>0</v>
      </c>
      <c r="M121" s="307">
        <v>0</v>
      </c>
      <c r="N121" s="306">
        <v>0</v>
      </c>
      <c r="O121" s="309">
        <v>0</v>
      </c>
      <c r="P121" s="305">
        <v>4787</v>
      </c>
      <c r="Q121" s="306">
        <v>0</v>
      </c>
      <c r="R121" s="307">
        <v>0</v>
      </c>
      <c r="S121" s="306">
        <v>0</v>
      </c>
      <c r="T121" s="309">
        <v>0</v>
      </c>
      <c r="U121" s="308">
        <v>4787</v>
      </c>
      <c r="V121" s="306">
        <v>0</v>
      </c>
      <c r="W121" s="307">
        <v>70</v>
      </c>
      <c r="X121" s="306">
        <v>0</v>
      </c>
      <c r="Y121" s="307">
        <v>70</v>
      </c>
      <c r="Z121" s="305">
        <v>4787</v>
      </c>
      <c r="AA121" s="306">
        <v>0</v>
      </c>
      <c r="AB121" s="307">
        <v>19</v>
      </c>
      <c r="AC121" s="306">
        <v>0</v>
      </c>
      <c r="AD121" s="307">
        <v>19</v>
      </c>
      <c r="AE121" s="305">
        <v>4787</v>
      </c>
    </row>
    <row r="122" spans="2:31" ht="12.75">
      <c r="B122" s="291"/>
      <c r="C122" s="293"/>
      <c r="D122" s="293"/>
      <c r="E122" s="293"/>
      <c r="F122" s="310"/>
      <c r="G122" s="311"/>
      <c r="H122" s="312"/>
      <c r="I122" s="311"/>
      <c r="J122" s="313"/>
      <c r="K122" s="310"/>
      <c r="L122" s="311"/>
      <c r="M122" s="312"/>
      <c r="N122" s="311"/>
      <c r="O122" s="313"/>
      <c r="P122" s="310"/>
      <c r="Q122" s="311"/>
      <c r="R122" s="312"/>
      <c r="S122" s="311"/>
      <c r="T122" s="313"/>
      <c r="U122" s="314"/>
      <c r="V122" s="311"/>
      <c r="W122" s="312"/>
      <c r="X122" s="311"/>
      <c r="Y122" s="312"/>
      <c r="Z122" s="310"/>
      <c r="AA122" s="311"/>
      <c r="AB122" s="312"/>
      <c r="AC122" s="311"/>
      <c r="AD122" s="312"/>
      <c r="AE122" s="310"/>
    </row>
    <row r="123" spans="2:31" ht="12.75">
      <c r="B123" s="291"/>
      <c r="C123" s="293"/>
      <c r="D123" s="298" t="s">
        <v>419</v>
      </c>
      <c r="E123" s="293"/>
      <c r="F123" s="310"/>
      <c r="G123" s="311"/>
      <c r="H123" s="312"/>
      <c r="I123" s="311"/>
      <c r="J123" s="313"/>
      <c r="K123" s="310"/>
      <c r="L123" s="311"/>
      <c r="M123" s="312"/>
      <c r="N123" s="311"/>
      <c r="O123" s="313"/>
      <c r="P123" s="310"/>
      <c r="Q123" s="311"/>
      <c r="R123" s="312"/>
      <c r="S123" s="311"/>
      <c r="T123" s="313"/>
      <c r="U123" s="314"/>
      <c r="V123" s="311"/>
      <c r="W123" s="312"/>
      <c r="X123" s="311"/>
      <c r="Y123" s="312"/>
      <c r="Z123" s="310"/>
      <c r="AA123" s="311"/>
      <c r="AB123" s="312"/>
      <c r="AC123" s="311"/>
      <c r="AD123" s="312"/>
      <c r="AE123" s="310"/>
    </row>
    <row r="124" spans="2:31" ht="12.75">
      <c r="B124" s="291"/>
      <c r="C124" s="293"/>
      <c r="D124" s="293"/>
      <c r="E124" s="293" t="s">
        <v>353</v>
      </c>
      <c r="F124" s="305">
        <v>35</v>
      </c>
      <c r="G124" s="306">
        <v>0</v>
      </c>
      <c r="H124" s="307">
        <v>0</v>
      </c>
      <c r="I124" s="306">
        <v>0</v>
      </c>
      <c r="J124" s="309">
        <v>0</v>
      </c>
      <c r="K124" s="305">
        <v>35</v>
      </c>
      <c r="L124" s="306">
        <v>0</v>
      </c>
      <c r="M124" s="307">
        <v>0</v>
      </c>
      <c r="N124" s="306">
        <v>1</v>
      </c>
      <c r="O124" s="309">
        <v>0</v>
      </c>
      <c r="P124" s="305">
        <v>36</v>
      </c>
      <c r="Q124" s="306">
        <v>0</v>
      </c>
      <c r="R124" s="307">
        <v>0</v>
      </c>
      <c r="S124" s="306">
        <v>0</v>
      </c>
      <c r="T124" s="309">
        <v>0</v>
      </c>
      <c r="U124" s="308">
        <v>36</v>
      </c>
      <c r="V124" s="306">
        <v>0</v>
      </c>
      <c r="W124" s="307">
        <v>0</v>
      </c>
      <c r="X124" s="306">
        <v>7</v>
      </c>
      <c r="Y124" s="307">
        <v>0</v>
      </c>
      <c r="Z124" s="305">
        <v>43</v>
      </c>
      <c r="AA124" s="306">
        <v>0</v>
      </c>
      <c r="AB124" s="307">
        <v>0</v>
      </c>
      <c r="AC124" s="306">
        <v>0</v>
      </c>
      <c r="AD124" s="307">
        <v>0</v>
      </c>
      <c r="AE124" s="305">
        <v>43</v>
      </c>
    </row>
    <row r="125" spans="2:31" ht="12.75">
      <c r="B125" s="291"/>
      <c r="C125" s="293"/>
      <c r="D125" s="293"/>
      <c r="E125" s="293" t="s">
        <v>352</v>
      </c>
      <c r="F125" s="305">
        <v>256</v>
      </c>
      <c r="G125" s="306">
        <v>0</v>
      </c>
      <c r="H125" s="307">
        <v>0</v>
      </c>
      <c r="I125" s="306">
        <v>0</v>
      </c>
      <c r="J125" s="309">
        <v>0</v>
      </c>
      <c r="K125" s="305">
        <v>256</v>
      </c>
      <c r="L125" s="306">
        <v>0</v>
      </c>
      <c r="M125" s="307">
        <v>0</v>
      </c>
      <c r="N125" s="306">
        <v>0</v>
      </c>
      <c r="O125" s="309">
        <v>0</v>
      </c>
      <c r="P125" s="305">
        <v>256</v>
      </c>
      <c r="Q125" s="306">
        <v>5</v>
      </c>
      <c r="R125" s="307">
        <v>0</v>
      </c>
      <c r="S125" s="306">
        <v>0</v>
      </c>
      <c r="T125" s="309">
        <v>0</v>
      </c>
      <c r="U125" s="308">
        <v>251</v>
      </c>
      <c r="V125" s="306">
        <v>0</v>
      </c>
      <c r="W125" s="307">
        <v>0</v>
      </c>
      <c r="X125" s="306">
        <v>0</v>
      </c>
      <c r="Y125" s="307">
        <v>0</v>
      </c>
      <c r="Z125" s="305">
        <v>251</v>
      </c>
      <c r="AA125" s="306">
        <v>0</v>
      </c>
      <c r="AB125" s="307">
        <v>0</v>
      </c>
      <c r="AC125" s="306">
        <v>0</v>
      </c>
      <c r="AD125" s="307">
        <v>0</v>
      </c>
      <c r="AE125" s="305">
        <v>251</v>
      </c>
    </row>
    <row r="126" spans="2:31" ht="12.75">
      <c r="B126" s="291"/>
      <c r="C126" s="293"/>
      <c r="D126" s="293"/>
      <c r="E126" s="293" t="s">
        <v>436</v>
      </c>
      <c r="F126" s="305">
        <v>16</v>
      </c>
      <c r="G126" s="306">
        <v>0</v>
      </c>
      <c r="H126" s="307">
        <v>0</v>
      </c>
      <c r="I126" s="306">
        <v>0</v>
      </c>
      <c r="J126" s="309">
        <v>0</v>
      </c>
      <c r="K126" s="305">
        <v>16</v>
      </c>
      <c r="L126" s="306">
        <v>0</v>
      </c>
      <c r="M126" s="307">
        <v>0</v>
      </c>
      <c r="N126" s="306">
        <v>0</v>
      </c>
      <c r="O126" s="309">
        <v>0</v>
      </c>
      <c r="P126" s="305">
        <v>16</v>
      </c>
      <c r="Q126" s="306">
        <v>0</v>
      </c>
      <c r="R126" s="307">
        <v>0</v>
      </c>
      <c r="S126" s="306">
        <v>0</v>
      </c>
      <c r="T126" s="309">
        <v>0</v>
      </c>
      <c r="U126" s="308">
        <v>16</v>
      </c>
      <c r="V126" s="306">
        <v>0</v>
      </c>
      <c r="W126" s="307">
        <v>0</v>
      </c>
      <c r="X126" s="306">
        <v>0</v>
      </c>
      <c r="Y126" s="307">
        <v>0</v>
      </c>
      <c r="Z126" s="305">
        <v>16</v>
      </c>
      <c r="AA126" s="306">
        <v>0</v>
      </c>
      <c r="AB126" s="307">
        <v>0</v>
      </c>
      <c r="AC126" s="306">
        <v>0</v>
      </c>
      <c r="AD126" s="307">
        <v>0</v>
      </c>
      <c r="AE126" s="305">
        <v>16</v>
      </c>
    </row>
    <row r="127" spans="2:31" ht="12.75">
      <c r="B127" s="291"/>
      <c r="C127" s="293"/>
      <c r="D127" s="293"/>
      <c r="E127" s="293"/>
      <c r="F127" s="310"/>
      <c r="G127" s="311"/>
      <c r="H127" s="312"/>
      <c r="I127" s="311"/>
      <c r="J127" s="313"/>
      <c r="K127" s="310"/>
      <c r="L127" s="311"/>
      <c r="M127" s="312"/>
      <c r="N127" s="311"/>
      <c r="O127" s="313"/>
      <c r="P127" s="310"/>
      <c r="Q127" s="311"/>
      <c r="R127" s="312"/>
      <c r="S127" s="311"/>
      <c r="T127" s="313"/>
      <c r="U127" s="314"/>
      <c r="V127" s="311"/>
      <c r="W127" s="312"/>
      <c r="X127" s="311"/>
      <c r="Y127" s="312"/>
      <c r="Z127" s="310"/>
      <c r="AA127" s="311"/>
      <c r="AB127" s="312"/>
      <c r="AC127" s="311"/>
      <c r="AD127" s="312"/>
      <c r="AE127" s="310"/>
    </row>
    <row r="128" spans="2:31" ht="12.75">
      <c r="B128" s="291"/>
      <c r="C128" s="293"/>
      <c r="D128" s="298" t="s">
        <v>583</v>
      </c>
      <c r="E128" s="293"/>
      <c r="F128" s="310"/>
      <c r="G128" s="311"/>
      <c r="H128" s="312"/>
      <c r="I128" s="311"/>
      <c r="J128" s="313"/>
      <c r="K128" s="310"/>
      <c r="L128" s="311"/>
      <c r="M128" s="312"/>
      <c r="N128" s="311"/>
      <c r="O128" s="313"/>
      <c r="P128" s="310"/>
      <c r="Q128" s="311"/>
      <c r="R128" s="312"/>
      <c r="S128" s="311"/>
      <c r="T128" s="313"/>
      <c r="U128" s="314"/>
      <c r="V128" s="311"/>
      <c r="W128" s="312"/>
      <c r="X128" s="311"/>
      <c r="Y128" s="312"/>
      <c r="Z128" s="310"/>
      <c r="AA128" s="311"/>
      <c r="AB128" s="312"/>
      <c r="AC128" s="311"/>
      <c r="AD128" s="312"/>
      <c r="AE128" s="310"/>
    </row>
    <row r="129" spans="2:31" ht="12.75">
      <c r="B129" s="291"/>
      <c r="C129" s="293"/>
      <c r="D129" s="293"/>
      <c r="E129" s="323" t="s">
        <v>437</v>
      </c>
      <c r="F129" s="305">
        <v>0</v>
      </c>
      <c r="G129" s="306">
        <v>0</v>
      </c>
      <c r="H129" s="307">
        <v>0</v>
      </c>
      <c r="I129" s="306">
        <v>0</v>
      </c>
      <c r="J129" s="309">
        <v>0</v>
      </c>
      <c r="K129" s="305">
        <v>0</v>
      </c>
      <c r="L129" s="306">
        <v>0</v>
      </c>
      <c r="M129" s="307">
        <v>0</v>
      </c>
      <c r="N129" s="306">
        <v>0</v>
      </c>
      <c r="O129" s="309">
        <v>0</v>
      </c>
      <c r="P129" s="305">
        <v>0</v>
      </c>
      <c r="Q129" s="306">
        <v>0</v>
      </c>
      <c r="R129" s="307">
        <v>0</v>
      </c>
      <c r="S129" s="306">
        <v>0</v>
      </c>
      <c r="T129" s="309">
        <v>0</v>
      </c>
      <c r="U129" s="308">
        <v>0</v>
      </c>
      <c r="V129" s="306" t="s">
        <v>922</v>
      </c>
      <c r="W129" s="307">
        <v>0</v>
      </c>
      <c r="X129" s="306" t="s">
        <v>922</v>
      </c>
      <c r="Y129" s="307">
        <v>0</v>
      </c>
      <c r="Z129" s="305">
        <v>0</v>
      </c>
      <c r="AA129" s="306" t="s">
        <v>922</v>
      </c>
      <c r="AB129" s="307">
        <v>0</v>
      </c>
      <c r="AC129" s="306" t="s">
        <v>922</v>
      </c>
      <c r="AD129" s="307">
        <v>0</v>
      </c>
      <c r="AE129" s="305">
        <v>0</v>
      </c>
    </row>
    <row r="130" spans="2:31" ht="12.75">
      <c r="B130" s="291"/>
      <c r="C130" s="293"/>
      <c r="D130" s="293"/>
      <c r="E130" s="293"/>
      <c r="F130" s="310"/>
      <c r="G130" s="311"/>
      <c r="H130" s="312"/>
      <c r="I130" s="311"/>
      <c r="J130" s="313"/>
      <c r="K130" s="310"/>
      <c r="L130" s="311"/>
      <c r="M130" s="312"/>
      <c r="N130" s="311"/>
      <c r="O130" s="313"/>
      <c r="P130" s="310"/>
      <c r="Q130" s="311"/>
      <c r="R130" s="312"/>
      <c r="S130" s="311"/>
      <c r="T130" s="313"/>
      <c r="U130" s="314"/>
      <c r="V130" s="311"/>
      <c r="W130" s="312"/>
      <c r="X130" s="311"/>
      <c r="Y130" s="312"/>
      <c r="Z130" s="310"/>
      <c r="AA130" s="311"/>
      <c r="AB130" s="312"/>
      <c r="AC130" s="311"/>
      <c r="AD130" s="312"/>
      <c r="AE130" s="310"/>
    </row>
    <row r="131" spans="2:31" ht="12.75">
      <c r="B131" s="291"/>
      <c r="C131" s="293"/>
      <c r="D131" s="298" t="s">
        <v>391</v>
      </c>
      <c r="E131" s="293"/>
      <c r="F131" s="310"/>
      <c r="G131" s="311"/>
      <c r="H131" s="312"/>
      <c r="I131" s="311"/>
      <c r="J131" s="313"/>
      <c r="K131" s="310"/>
      <c r="L131" s="311"/>
      <c r="M131" s="312"/>
      <c r="N131" s="311"/>
      <c r="O131" s="313"/>
      <c r="P131" s="310"/>
      <c r="Q131" s="311"/>
      <c r="R131" s="312"/>
      <c r="S131" s="311"/>
      <c r="T131" s="313"/>
      <c r="U131" s="314"/>
      <c r="V131" s="311"/>
      <c r="W131" s="312"/>
      <c r="X131" s="311"/>
      <c r="Y131" s="312"/>
      <c r="Z131" s="310"/>
      <c r="AA131" s="311"/>
      <c r="AB131" s="312"/>
      <c r="AC131" s="311"/>
      <c r="AD131" s="312"/>
      <c r="AE131" s="310"/>
    </row>
    <row r="132" spans="2:31" ht="12.75">
      <c r="B132" s="291"/>
      <c r="C132" s="293"/>
      <c r="D132" s="293"/>
      <c r="E132" s="293" t="s">
        <v>438</v>
      </c>
      <c r="F132" s="305">
        <v>319</v>
      </c>
      <c r="G132" s="306">
        <v>10</v>
      </c>
      <c r="H132" s="307">
        <v>0</v>
      </c>
      <c r="I132" s="306">
        <v>3</v>
      </c>
      <c r="J132" s="309">
        <v>0</v>
      </c>
      <c r="K132" s="305">
        <v>312</v>
      </c>
      <c r="L132" s="306">
        <v>19</v>
      </c>
      <c r="M132" s="307">
        <v>0</v>
      </c>
      <c r="N132" s="306">
        <v>2</v>
      </c>
      <c r="O132" s="309">
        <v>0</v>
      </c>
      <c r="P132" s="305">
        <v>295</v>
      </c>
      <c r="Q132" s="306">
        <v>0</v>
      </c>
      <c r="R132" s="307">
        <v>0</v>
      </c>
      <c r="S132" s="306">
        <v>0</v>
      </c>
      <c r="T132" s="309">
        <v>0</v>
      </c>
      <c r="U132" s="308">
        <v>295</v>
      </c>
      <c r="V132" s="306">
        <v>0</v>
      </c>
      <c r="W132" s="307">
        <v>0</v>
      </c>
      <c r="X132" s="306">
        <v>0</v>
      </c>
      <c r="Y132" s="307">
        <v>0</v>
      </c>
      <c r="Z132" s="305">
        <v>295</v>
      </c>
      <c r="AA132" s="306">
        <v>0</v>
      </c>
      <c r="AB132" s="307">
        <v>0</v>
      </c>
      <c r="AC132" s="306">
        <v>0</v>
      </c>
      <c r="AD132" s="307">
        <v>0</v>
      </c>
      <c r="AE132" s="305">
        <v>295</v>
      </c>
    </row>
    <row r="133" spans="2:31" ht="12.75">
      <c r="B133" s="291"/>
      <c r="C133" s="293"/>
      <c r="D133" s="293"/>
      <c r="E133" s="293" t="s">
        <v>439</v>
      </c>
      <c r="F133" s="305">
        <v>1690</v>
      </c>
      <c r="G133" s="306">
        <v>0</v>
      </c>
      <c r="H133" s="307">
        <v>0</v>
      </c>
      <c r="I133" s="306">
        <v>0</v>
      </c>
      <c r="J133" s="309">
        <v>0</v>
      </c>
      <c r="K133" s="305">
        <v>1690</v>
      </c>
      <c r="L133" s="306">
        <v>0</v>
      </c>
      <c r="M133" s="307">
        <v>0</v>
      </c>
      <c r="N133" s="306">
        <v>0</v>
      </c>
      <c r="O133" s="309">
        <v>0</v>
      </c>
      <c r="P133" s="305">
        <v>1690</v>
      </c>
      <c r="Q133" s="306">
        <v>0</v>
      </c>
      <c r="R133" s="307">
        <v>0</v>
      </c>
      <c r="S133" s="306">
        <v>0</v>
      </c>
      <c r="T133" s="309">
        <v>14</v>
      </c>
      <c r="U133" s="308">
        <v>1704</v>
      </c>
      <c r="V133" s="306">
        <v>0</v>
      </c>
      <c r="W133" s="307">
        <v>25</v>
      </c>
      <c r="X133" s="306">
        <v>0</v>
      </c>
      <c r="Y133" s="307">
        <v>25</v>
      </c>
      <c r="Z133" s="305">
        <v>1704</v>
      </c>
      <c r="AA133" s="306">
        <v>0</v>
      </c>
      <c r="AB133" s="307">
        <v>2</v>
      </c>
      <c r="AC133" s="306">
        <v>0</v>
      </c>
      <c r="AD133" s="307">
        <v>2</v>
      </c>
      <c r="AE133" s="305">
        <v>1704</v>
      </c>
    </row>
    <row r="134" spans="2:31" ht="12.75">
      <c r="B134" s="291"/>
      <c r="C134" s="293"/>
      <c r="D134" s="293"/>
      <c r="E134" s="293"/>
      <c r="F134" s="310"/>
      <c r="G134" s="311"/>
      <c r="H134" s="312"/>
      <c r="I134" s="311"/>
      <c r="J134" s="313"/>
      <c r="K134" s="310"/>
      <c r="L134" s="311"/>
      <c r="M134" s="312"/>
      <c r="N134" s="311"/>
      <c r="O134" s="313"/>
      <c r="P134" s="310"/>
      <c r="Q134" s="311"/>
      <c r="R134" s="312"/>
      <c r="S134" s="311"/>
      <c r="T134" s="313"/>
      <c r="U134" s="314"/>
      <c r="V134" s="311"/>
      <c r="W134" s="312"/>
      <c r="X134" s="311"/>
      <c r="Y134" s="312"/>
      <c r="Z134" s="310"/>
      <c r="AA134" s="311"/>
      <c r="AB134" s="312"/>
      <c r="AC134" s="311"/>
      <c r="AD134" s="312"/>
      <c r="AE134" s="310"/>
    </row>
    <row r="135" spans="2:31" ht="12.75">
      <c r="B135" s="291"/>
      <c r="C135" s="293"/>
      <c r="D135" s="298" t="s">
        <v>146</v>
      </c>
      <c r="E135" s="293"/>
      <c r="F135" s="310"/>
      <c r="G135" s="311"/>
      <c r="H135" s="312"/>
      <c r="I135" s="311"/>
      <c r="J135" s="313"/>
      <c r="K135" s="310"/>
      <c r="L135" s="311"/>
      <c r="M135" s="312"/>
      <c r="N135" s="311"/>
      <c r="O135" s="313"/>
      <c r="P135" s="310"/>
      <c r="Q135" s="311"/>
      <c r="R135" s="312"/>
      <c r="S135" s="311"/>
      <c r="T135" s="313"/>
      <c r="U135" s="314"/>
      <c r="V135" s="311"/>
      <c r="W135" s="312"/>
      <c r="X135" s="311"/>
      <c r="Y135" s="312"/>
      <c r="Z135" s="310"/>
      <c r="AA135" s="311"/>
      <c r="AB135" s="312"/>
      <c r="AC135" s="311"/>
      <c r="AD135" s="312"/>
      <c r="AE135" s="310"/>
    </row>
    <row r="136" spans="2:31" ht="12.75">
      <c r="B136" s="291"/>
      <c r="C136" s="293"/>
      <c r="D136" s="293"/>
      <c r="E136" s="323" t="s">
        <v>440</v>
      </c>
      <c r="F136" s="305">
        <v>230</v>
      </c>
      <c r="G136" s="306">
        <v>0</v>
      </c>
      <c r="H136" s="307">
        <v>0</v>
      </c>
      <c r="I136" s="306">
        <v>4</v>
      </c>
      <c r="J136" s="309">
        <v>0</v>
      </c>
      <c r="K136" s="305">
        <v>234</v>
      </c>
      <c r="L136" s="306">
        <v>0</v>
      </c>
      <c r="M136" s="307">
        <v>2</v>
      </c>
      <c r="N136" s="306">
        <v>3</v>
      </c>
      <c r="O136" s="309">
        <v>3</v>
      </c>
      <c r="P136" s="305">
        <v>238</v>
      </c>
      <c r="Q136" s="306">
        <v>0</v>
      </c>
      <c r="R136" s="307">
        <v>2</v>
      </c>
      <c r="S136" s="306">
        <v>1</v>
      </c>
      <c r="T136" s="309">
        <v>3</v>
      </c>
      <c r="U136" s="308">
        <v>240</v>
      </c>
      <c r="V136" s="306">
        <v>4</v>
      </c>
      <c r="W136" s="307">
        <v>6</v>
      </c>
      <c r="X136" s="306">
        <v>7</v>
      </c>
      <c r="Y136" s="307">
        <v>6</v>
      </c>
      <c r="Z136" s="305">
        <v>243</v>
      </c>
      <c r="AA136" s="306">
        <v>0</v>
      </c>
      <c r="AB136" s="307">
        <v>0</v>
      </c>
      <c r="AC136" s="306">
        <v>0</v>
      </c>
      <c r="AD136" s="307">
        <v>6</v>
      </c>
      <c r="AE136" s="305">
        <v>249</v>
      </c>
    </row>
    <row r="137" spans="2:31" ht="12.75">
      <c r="B137" s="291"/>
      <c r="C137" s="293"/>
      <c r="D137" s="293"/>
      <c r="E137" s="323" t="s">
        <v>441</v>
      </c>
      <c r="F137" s="305">
        <v>354</v>
      </c>
      <c r="G137" s="306">
        <v>0</v>
      </c>
      <c r="H137" s="307">
        <v>0</v>
      </c>
      <c r="I137" s="306">
        <v>0</v>
      </c>
      <c r="J137" s="309">
        <v>0</v>
      </c>
      <c r="K137" s="305">
        <v>354</v>
      </c>
      <c r="L137" s="306">
        <v>0</v>
      </c>
      <c r="M137" s="307">
        <v>0</v>
      </c>
      <c r="N137" s="306">
        <v>0</v>
      </c>
      <c r="O137" s="309">
        <v>0</v>
      </c>
      <c r="P137" s="305">
        <v>354</v>
      </c>
      <c r="Q137" s="306">
        <v>0</v>
      </c>
      <c r="R137" s="307">
        <v>0</v>
      </c>
      <c r="S137" s="306">
        <v>0</v>
      </c>
      <c r="T137" s="309">
        <v>2</v>
      </c>
      <c r="U137" s="308">
        <v>356</v>
      </c>
      <c r="V137" s="306">
        <v>2</v>
      </c>
      <c r="W137" s="307">
        <v>0</v>
      </c>
      <c r="X137" s="306">
        <v>2</v>
      </c>
      <c r="Y137" s="307">
        <v>0</v>
      </c>
      <c r="Z137" s="305">
        <v>356</v>
      </c>
      <c r="AA137" s="306">
        <v>0</v>
      </c>
      <c r="AB137" s="307">
        <v>0</v>
      </c>
      <c r="AC137" s="306">
        <v>0</v>
      </c>
      <c r="AD137" s="307">
        <v>0</v>
      </c>
      <c r="AE137" s="305">
        <v>356</v>
      </c>
    </row>
    <row r="138" spans="2:31" ht="13.5" thickBot="1">
      <c r="B138" s="289"/>
      <c r="C138" s="290"/>
      <c r="D138" s="290"/>
      <c r="E138" s="290"/>
      <c r="F138" s="315"/>
      <c r="G138" s="316"/>
      <c r="H138" s="317"/>
      <c r="I138" s="316"/>
      <c r="J138" s="318"/>
      <c r="K138" s="319"/>
      <c r="L138" s="316"/>
      <c r="M138" s="317"/>
      <c r="N138" s="316"/>
      <c r="O138" s="318"/>
      <c r="P138" s="319"/>
      <c r="Q138" s="316"/>
      <c r="R138" s="317"/>
      <c r="S138" s="316"/>
      <c r="T138" s="318"/>
      <c r="U138" s="320"/>
      <c r="V138" s="316"/>
      <c r="W138" s="317"/>
      <c r="X138" s="316"/>
      <c r="Y138" s="317"/>
      <c r="Z138" s="319"/>
      <c r="AA138" s="316"/>
      <c r="AB138" s="317"/>
      <c r="AC138" s="316"/>
      <c r="AD138" s="317"/>
      <c r="AE138" s="319"/>
    </row>
    <row r="139" spans="2:31" ht="12.75">
      <c r="B139" s="321"/>
      <c r="C139" s="322" t="s">
        <v>446</v>
      </c>
      <c r="D139" s="322"/>
      <c r="E139" s="323"/>
      <c r="F139" s="310"/>
      <c r="G139" s="311"/>
      <c r="H139" s="312"/>
      <c r="I139" s="311"/>
      <c r="J139" s="313"/>
      <c r="K139" s="310"/>
      <c r="L139" s="311"/>
      <c r="M139" s="312"/>
      <c r="N139" s="311"/>
      <c r="O139" s="313"/>
      <c r="P139" s="310"/>
      <c r="Q139" s="311"/>
      <c r="R139" s="312"/>
      <c r="S139" s="311"/>
      <c r="T139" s="313"/>
      <c r="U139" s="314"/>
      <c r="V139" s="311"/>
      <c r="W139" s="312"/>
      <c r="X139" s="311"/>
      <c r="Y139" s="312"/>
      <c r="Z139" s="310"/>
      <c r="AA139" s="311"/>
      <c r="AB139" s="312"/>
      <c r="AC139" s="311"/>
      <c r="AD139" s="312"/>
      <c r="AE139" s="310"/>
    </row>
    <row r="140" spans="2:31" ht="12.75">
      <c r="B140" s="291"/>
      <c r="C140" s="293"/>
      <c r="D140" s="298" t="s">
        <v>449</v>
      </c>
      <c r="E140" s="293"/>
      <c r="F140" s="310"/>
      <c r="G140" s="311"/>
      <c r="H140" s="312"/>
      <c r="I140" s="311"/>
      <c r="J140" s="313"/>
      <c r="K140" s="310"/>
      <c r="L140" s="311"/>
      <c r="M140" s="312"/>
      <c r="N140" s="311"/>
      <c r="O140" s="313"/>
      <c r="P140" s="310"/>
      <c r="Q140" s="311"/>
      <c r="R140" s="312"/>
      <c r="S140" s="311"/>
      <c r="T140" s="313"/>
      <c r="U140" s="314"/>
      <c r="V140" s="311"/>
      <c r="W140" s="312"/>
      <c r="X140" s="311"/>
      <c r="Y140" s="312"/>
      <c r="Z140" s="310"/>
      <c r="AA140" s="311"/>
      <c r="AB140" s="312"/>
      <c r="AC140" s="311"/>
      <c r="AD140" s="312"/>
      <c r="AE140" s="310"/>
    </row>
    <row r="141" spans="2:31" ht="12.75">
      <c r="B141" s="291"/>
      <c r="C141" s="293"/>
      <c r="D141" s="293"/>
      <c r="E141" s="323" t="s">
        <v>450</v>
      </c>
      <c r="F141" s="305">
        <v>2</v>
      </c>
      <c r="G141" s="306">
        <v>0</v>
      </c>
      <c r="H141" s="307">
        <v>0</v>
      </c>
      <c r="I141" s="306">
        <v>0</v>
      </c>
      <c r="J141" s="309">
        <v>0</v>
      </c>
      <c r="K141" s="305">
        <v>2</v>
      </c>
      <c r="L141" s="306">
        <v>0</v>
      </c>
      <c r="M141" s="307">
        <v>0</v>
      </c>
      <c r="N141" s="306">
        <v>0</v>
      </c>
      <c r="O141" s="309">
        <v>0</v>
      </c>
      <c r="P141" s="305">
        <v>2</v>
      </c>
      <c r="Q141" s="306">
        <v>0</v>
      </c>
      <c r="R141" s="307">
        <v>0</v>
      </c>
      <c r="S141" s="306">
        <v>0</v>
      </c>
      <c r="T141" s="309">
        <v>0</v>
      </c>
      <c r="U141" s="308">
        <v>2</v>
      </c>
      <c r="V141" s="306" t="s">
        <v>922</v>
      </c>
      <c r="W141" s="307">
        <v>0</v>
      </c>
      <c r="X141" s="306" t="s">
        <v>922</v>
      </c>
      <c r="Y141" s="307">
        <v>0</v>
      </c>
      <c r="Z141" s="305">
        <v>2</v>
      </c>
      <c r="AA141" s="306" t="s">
        <v>922</v>
      </c>
      <c r="AB141" s="307">
        <v>0</v>
      </c>
      <c r="AC141" s="306" t="s">
        <v>922</v>
      </c>
      <c r="AD141" s="307">
        <v>0</v>
      </c>
      <c r="AE141" s="305">
        <v>2</v>
      </c>
    </row>
    <row r="142" spans="2:31" ht="12.75">
      <c r="B142" s="291"/>
      <c r="C142" s="293"/>
      <c r="D142" s="293"/>
      <c r="E142" s="323" t="s">
        <v>462</v>
      </c>
      <c r="F142" s="305">
        <v>262</v>
      </c>
      <c r="G142" s="306">
        <v>0</v>
      </c>
      <c r="H142" s="307">
        <v>0</v>
      </c>
      <c r="I142" s="306">
        <v>0</v>
      </c>
      <c r="J142" s="309">
        <v>0</v>
      </c>
      <c r="K142" s="305">
        <v>262</v>
      </c>
      <c r="L142" s="306">
        <v>0</v>
      </c>
      <c r="M142" s="307">
        <v>0</v>
      </c>
      <c r="N142" s="306">
        <v>0</v>
      </c>
      <c r="O142" s="309">
        <v>0</v>
      </c>
      <c r="P142" s="305">
        <v>262</v>
      </c>
      <c r="Q142" s="306">
        <v>0</v>
      </c>
      <c r="R142" s="307">
        <v>0</v>
      </c>
      <c r="S142" s="306">
        <v>0</v>
      </c>
      <c r="T142" s="309">
        <v>0</v>
      </c>
      <c r="U142" s="308">
        <v>262</v>
      </c>
      <c r="V142" s="306" t="s">
        <v>922</v>
      </c>
      <c r="W142" s="307">
        <v>0</v>
      </c>
      <c r="X142" s="306" t="s">
        <v>922</v>
      </c>
      <c r="Y142" s="307">
        <v>0</v>
      </c>
      <c r="Z142" s="305">
        <v>262</v>
      </c>
      <c r="AA142" s="306" t="s">
        <v>922</v>
      </c>
      <c r="AB142" s="307">
        <v>0</v>
      </c>
      <c r="AC142" s="306" t="s">
        <v>922</v>
      </c>
      <c r="AD142" s="307">
        <v>0</v>
      </c>
      <c r="AE142" s="305">
        <v>262</v>
      </c>
    </row>
    <row r="143" spans="2:31" ht="12.75">
      <c r="B143" s="291"/>
      <c r="C143" s="323"/>
      <c r="D143" s="298"/>
      <c r="E143" s="293"/>
      <c r="F143" s="310"/>
      <c r="G143" s="311"/>
      <c r="H143" s="312"/>
      <c r="I143" s="311"/>
      <c r="J143" s="313"/>
      <c r="K143" s="310"/>
      <c r="L143" s="311"/>
      <c r="M143" s="312"/>
      <c r="N143" s="311"/>
      <c r="O143" s="313"/>
      <c r="P143" s="310"/>
      <c r="Q143" s="311"/>
      <c r="R143" s="312"/>
      <c r="S143" s="311"/>
      <c r="T143" s="313"/>
      <c r="U143" s="314"/>
      <c r="V143" s="311"/>
      <c r="W143" s="312"/>
      <c r="X143" s="311"/>
      <c r="Y143" s="312"/>
      <c r="Z143" s="310"/>
      <c r="AA143" s="311"/>
      <c r="AB143" s="312"/>
      <c r="AC143" s="311"/>
      <c r="AD143" s="312"/>
      <c r="AE143" s="310"/>
    </row>
    <row r="144" spans="2:31" ht="12.75">
      <c r="B144" s="291"/>
      <c r="C144" s="293"/>
      <c r="D144" s="298" t="s">
        <v>463</v>
      </c>
      <c r="E144" s="293"/>
      <c r="F144" s="310"/>
      <c r="G144" s="311"/>
      <c r="H144" s="312"/>
      <c r="I144" s="311"/>
      <c r="J144" s="313"/>
      <c r="K144" s="310"/>
      <c r="L144" s="311"/>
      <c r="M144" s="312"/>
      <c r="N144" s="311"/>
      <c r="O144" s="313"/>
      <c r="P144" s="310"/>
      <c r="Q144" s="311"/>
      <c r="R144" s="312"/>
      <c r="S144" s="311"/>
      <c r="T144" s="313"/>
      <c r="U144" s="314"/>
      <c r="V144" s="311"/>
      <c r="W144" s="312"/>
      <c r="X144" s="311"/>
      <c r="Y144" s="312"/>
      <c r="Z144" s="310"/>
      <c r="AA144" s="311"/>
      <c r="AB144" s="312"/>
      <c r="AC144" s="311"/>
      <c r="AD144" s="312"/>
      <c r="AE144" s="310"/>
    </row>
    <row r="145" spans="2:31" ht="12.75">
      <c r="B145" s="291"/>
      <c r="C145" s="293"/>
      <c r="D145" s="293"/>
      <c r="E145" s="323" t="s">
        <v>452</v>
      </c>
      <c r="F145" s="305">
        <v>1773</v>
      </c>
      <c r="G145" s="306">
        <v>0</v>
      </c>
      <c r="H145" s="307">
        <v>0</v>
      </c>
      <c r="I145" s="306">
        <v>0</v>
      </c>
      <c r="J145" s="309">
        <v>0</v>
      </c>
      <c r="K145" s="305">
        <v>1773</v>
      </c>
      <c r="L145" s="306">
        <v>0</v>
      </c>
      <c r="M145" s="307">
        <v>0</v>
      </c>
      <c r="N145" s="306">
        <v>0</v>
      </c>
      <c r="O145" s="309">
        <v>0</v>
      </c>
      <c r="P145" s="305">
        <v>1773</v>
      </c>
      <c r="Q145" s="306">
        <v>0</v>
      </c>
      <c r="R145" s="307">
        <v>0</v>
      </c>
      <c r="S145" s="306">
        <v>0</v>
      </c>
      <c r="T145" s="309">
        <v>0</v>
      </c>
      <c r="U145" s="308">
        <v>1773</v>
      </c>
      <c r="V145" s="306" t="s">
        <v>922</v>
      </c>
      <c r="W145" s="307">
        <v>0</v>
      </c>
      <c r="X145" s="306" t="s">
        <v>922</v>
      </c>
      <c r="Y145" s="307">
        <v>0</v>
      </c>
      <c r="Z145" s="305">
        <v>1773</v>
      </c>
      <c r="AA145" s="306" t="s">
        <v>922</v>
      </c>
      <c r="AB145" s="307">
        <v>0</v>
      </c>
      <c r="AC145" s="306" t="s">
        <v>922</v>
      </c>
      <c r="AD145" s="307">
        <v>0</v>
      </c>
      <c r="AE145" s="305">
        <v>1773</v>
      </c>
    </row>
    <row r="146" spans="2:31" ht="12.75">
      <c r="B146" s="291"/>
      <c r="C146" s="293"/>
      <c r="D146" s="293"/>
      <c r="E146" s="323" t="s">
        <v>453</v>
      </c>
      <c r="F146" s="305">
        <v>1264</v>
      </c>
      <c r="G146" s="306">
        <v>0</v>
      </c>
      <c r="H146" s="307">
        <v>0</v>
      </c>
      <c r="I146" s="306">
        <v>0</v>
      </c>
      <c r="J146" s="309">
        <v>0</v>
      </c>
      <c r="K146" s="305">
        <v>1264</v>
      </c>
      <c r="L146" s="306">
        <v>0</v>
      </c>
      <c r="M146" s="307">
        <v>0</v>
      </c>
      <c r="N146" s="306">
        <v>0</v>
      </c>
      <c r="O146" s="309">
        <v>0</v>
      </c>
      <c r="P146" s="305">
        <v>1264</v>
      </c>
      <c r="Q146" s="306">
        <v>0</v>
      </c>
      <c r="R146" s="307">
        <v>0</v>
      </c>
      <c r="S146" s="306">
        <v>0</v>
      </c>
      <c r="T146" s="309">
        <v>0</v>
      </c>
      <c r="U146" s="308">
        <v>1264</v>
      </c>
      <c r="V146" s="306" t="s">
        <v>922</v>
      </c>
      <c r="W146" s="307">
        <v>0</v>
      </c>
      <c r="X146" s="306" t="s">
        <v>922</v>
      </c>
      <c r="Y146" s="307">
        <v>0</v>
      </c>
      <c r="Z146" s="305">
        <v>1264</v>
      </c>
      <c r="AA146" s="306" t="s">
        <v>922</v>
      </c>
      <c r="AB146" s="307">
        <v>0</v>
      </c>
      <c r="AC146" s="306" t="s">
        <v>922</v>
      </c>
      <c r="AD146" s="307">
        <v>0</v>
      </c>
      <c r="AE146" s="305">
        <v>1264</v>
      </c>
    </row>
    <row r="147" spans="2:31" ht="13.5" thickBot="1">
      <c r="B147" s="289"/>
      <c r="C147" s="290"/>
      <c r="D147" s="290"/>
      <c r="E147" s="290"/>
      <c r="F147" s="315"/>
      <c r="G147" s="316"/>
      <c r="H147" s="317"/>
      <c r="I147" s="316"/>
      <c r="J147" s="318"/>
      <c r="K147" s="319"/>
      <c r="L147" s="316"/>
      <c r="M147" s="317"/>
      <c r="N147" s="316"/>
      <c r="O147" s="318"/>
      <c r="P147" s="319"/>
      <c r="Q147" s="316"/>
      <c r="R147" s="317"/>
      <c r="S147" s="316"/>
      <c r="T147" s="318"/>
      <c r="U147" s="329"/>
      <c r="V147" s="316"/>
      <c r="W147" s="317"/>
      <c r="X147" s="316"/>
      <c r="Y147" s="317"/>
      <c r="Z147" s="319"/>
      <c r="AA147" s="316"/>
      <c r="AB147" s="317"/>
      <c r="AC147" s="316"/>
      <c r="AD147" s="317"/>
      <c r="AE147" s="319"/>
    </row>
  </sheetData>
  <sheetProtection/>
  <mergeCells count="15">
    <mergeCell ref="Q8:R8"/>
    <mergeCell ref="S8:T8"/>
    <mergeCell ref="V8:W8"/>
    <mergeCell ref="X8:Y8"/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8.8515625" style="0" customWidth="1"/>
    <col min="2" max="2" width="23.421875" style="0" customWidth="1"/>
  </cols>
  <sheetData>
    <row r="1" spans="1:6" ht="12.75">
      <c r="A1" s="916" t="s">
        <v>610</v>
      </c>
      <c r="F1" s="911" t="s">
        <v>795</v>
      </c>
    </row>
    <row r="3" ht="12.75">
      <c r="A3" s="916" t="s">
        <v>581</v>
      </c>
    </row>
    <row r="6" spans="1:20" ht="12.75">
      <c r="A6" s="1050"/>
      <c r="B6" s="1049" t="s">
        <v>582</v>
      </c>
      <c r="C6" s="1146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N6" s="1050"/>
      <c r="O6" s="1050"/>
      <c r="P6" s="1050"/>
      <c r="Q6" s="1050"/>
      <c r="R6" s="280"/>
      <c r="S6" s="1050"/>
      <c r="T6" s="1050"/>
    </row>
    <row r="7" spans="1:20" ht="13.5" thickBot="1">
      <c r="A7" s="1050"/>
      <c r="B7" s="1050"/>
      <c r="C7" s="1146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280"/>
      <c r="S7" s="1050"/>
      <c r="T7" s="1050"/>
    </row>
    <row r="8" spans="1:20" ht="12.75">
      <c r="A8" s="1050"/>
      <c r="B8" s="1090"/>
      <c r="C8" s="1147"/>
      <c r="D8" s="1067" t="s">
        <v>482</v>
      </c>
      <c r="E8" s="1068"/>
      <c r="F8" s="1068"/>
      <c r="G8" s="1068"/>
      <c r="H8" s="1069"/>
      <c r="I8" s="1068" t="s">
        <v>483</v>
      </c>
      <c r="J8" s="1070"/>
      <c r="K8" s="1070"/>
      <c r="L8" s="1070"/>
      <c r="M8" s="1069"/>
      <c r="N8" s="1050"/>
      <c r="O8" s="1027" t="s">
        <v>482</v>
      </c>
      <c r="P8" s="1028"/>
      <c r="Q8" s="1029"/>
      <c r="R8" s="280"/>
      <c r="S8" s="1027" t="s">
        <v>483</v>
      </c>
      <c r="T8" s="1029"/>
    </row>
    <row r="9" spans="1:20" ht="12.75">
      <c r="A9" s="1050"/>
      <c r="B9" s="1093"/>
      <c r="C9" s="1148" t="s">
        <v>673</v>
      </c>
      <c r="D9" s="1149" t="s">
        <v>674</v>
      </c>
      <c r="E9" s="1150" t="s">
        <v>675</v>
      </c>
      <c r="F9" s="1150" t="s">
        <v>535</v>
      </c>
      <c r="G9" s="1150" t="s">
        <v>676</v>
      </c>
      <c r="H9" s="1151" t="s">
        <v>538</v>
      </c>
      <c r="I9" s="1152" t="s">
        <v>484</v>
      </c>
      <c r="J9" s="1150" t="s">
        <v>785</v>
      </c>
      <c r="K9" s="1150" t="s">
        <v>786</v>
      </c>
      <c r="L9" s="1150" t="s">
        <v>787</v>
      </c>
      <c r="M9" s="1151" t="s">
        <v>788</v>
      </c>
      <c r="N9" s="1050"/>
      <c r="O9" s="1030" t="s">
        <v>775</v>
      </c>
      <c r="P9" s="1031" t="s">
        <v>776</v>
      </c>
      <c r="Q9" s="1032" t="s">
        <v>816</v>
      </c>
      <c r="R9" s="280"/>
      <c r="S9" s="1030" t="s">
        <v>776</v>
      </c>
      <c r="T9" s="1032" t="s">
        <v>777</v>
      </c>
    </row>
    <row r="10" spans="1:20" ht="12.75">
      <c r="A10" s="1050"/>
      <c r="B10" s="1153" t="s">
        <v>850</v>
      </c>
      <c r="C10" s="1154" t="s">
        <v>660</v>
      </c>
      <c r="D10" s="1155">
        <v>13.245009222625885</v>
      </c>
      <c r="E10" s="1156">
        <v>30.46738809052645</v>
      </c>
      <c r="F10" s="1156">
        <v>43.70619704429301</v>
      </c>
      <c r="G10" s="1156">
        <v>35.33726892041523</v>
      </c>
      <c r="H10" s="1157">
        <v>31.512553421511626</v>
      </c>
      <c r="I10" s="1156">
        <v>30.60763079497908</v>
      </c>
      <c r="J10" s="1158">
        <v>32.37157479548306</v>
      </c>
      <c r="K10" s="1158">
        <v>35.073910669642856</v>
      </c>
      <c r="L10" s="1158">
        <v>37.40445610887097</v>
      </c>
      <c r="M10" s="1157">
        <v>39.50437740640155</v>
      </c>
      <c r="N10" s="1050"/>
      <c r="O10" s="1038">
        <v>87.41859435744536</v>
      </c>
      <c r="P10" s="1039">
        <v>66.84982234192685</v>
      </c>
      <c r="Q10" s="1040">
        <v>154.2684166993722</v>
      </c>
      <c r="R10" s="280"/>
      <c r="S10" s="1038">
        <v>174.96194977537752</v>
      </c>
      <c r="T10" s="1041">
        <v>0.13413979036507168</v>
      </c>
    </row>
    <row r="11" spans="1:20" ht="12.75">
      <c r="A11" s="1050"/>
      <c r="B11" s="1153" t="s">
        <v>851</v>
      </c>
      <c r="C11" s="1154" t="s">
        <v>660</v>
      </c>
      <c r="D11" s="1159">
        <v>11.2</v>
      </c>
      <c r="E11" s="1160">
        <v>25.7</v>
      </c>
      <c r="F11" s="1160">
        <v>36.1</v>
      </c>
      <c r="G11" s="1160">
        <v>31</v>
      </c>
      <c r="H11" s="1161">
        <v>29.1</v>
      </c>
      <c r="I11" s="1160">
        <v>27.2</v>
      </c>
      <c r="J11" s="1162">
        <v>28.9</v>
      </c>
      <c r="K11" s="1162">
        <v>31.4</v>
      </c>
      <c r="L11" s="1162">
        <v>33.5</v>
      </c>
      <c r="M11" s="1161">
        <v>35.5</v>
      </c>
      <c r="N11" s="1050"/>
      <c r="O11" s="1038">
        <v>73</v>
      </c>
      <c r="P11" s="1039">
        <v>60.1</v>
      </c>
      <c r="Q11" s="1040">
        <v>133.1</v>
      </c>
      <c r="R11" s="280"/>
      <c r="S11" s="1038">
        <v>156.5</v>
      </c>
      <c r="T11" s="1041">
        <v>0.17580766341096923</v>
      </c>
    </row>
    <row r="12" spans="1:20" ht="12.75">
      <c r="A12" s="1050"/>
      <c r="B12" s="1153" t="s">
        <v>425</v>
      </c>
      <c r="C12" s="1154" t="s">
        <v>660</v>
      </c>
      <c r="D12" s="1098">
        <v>2.045009222625886</v>
      </c>
      <c r="E12" s="1101">
        <v>4.767388090526449</v>
      </c>
      <c r="F12" s="1101">
        <v>7.606197044293012</v>
      </c>
      <c r="G12" s="1101">
        <v>4.33726892041523</v>
      </c>
      <c r="H12" s="1100">
        <v>2.4125534215116247</v>
      </c>
      <c r="I12" s="1099">
        <v>3.407630794979081</v>
      </c>
      <c r="J12" s="1101">
        <v>3.4715747954830647</v>
      </c>
      <c r="K12" s="1101">
        <v>3.6739106696428543</v>
      </c>
      <c r="L12" s="1101">
        <v>3.904456108870967</v>
      </c>
      <c r="M12" s="1100">
        <v>4.004377406401552</v>
      </c>
      <c r="N12" s="1050"/>
      <c r="O12" s="1038">
        <v>14.418594357445347</v>
      </c>
      <c r="P12" s="1039">
        <v>6.749822341926855</v>
      </c>
      <c r="Q12" s="1040">
        <v>21.1684166993722</v>
      </c>
      <c r="R12" s="280"/>
      <c r="S12" s="1038">
        <v>18.46194977537752</v>
      </c>
      <c r="T12" s="1041">
        <v>-0.12785400828182625</v>
      </c>
    </row>
    <row r="13" spans="1:20" ht="12.75">
      <c r="A13" s="1050"/>
      <c r="B13" s="1153" t="s">
        <v>750</v>
      </c>
      <c r="C13" s="1154" t="s">
        <v>660</v>
      </c>
      <c r="D13" s="1159">
        <v>-5.6</v>
      </c>
      <c r="E13" s="1160">
        <v>16.4</v>
      </c>
      <c r="F13" s="1160">
        <v>18.1</v>
      </c>
      <c r="G13" s="1160">
        <v>7.3</v>
      </c>
      <c r="H13" s="1161">
        <v>10.2</v>
      </c>
      <c r="I13" s="1160">
        <v>9.8</v>
      </c>
      <c r="J13" s="1162">
        <v>10.5</v>
      </c>
      <c r="K13" s="1162">
        <v>11.4</v>
      </c>
      <c r="L13" s="1162">
        <v>12.1</v>
      </c>
      <c r="M13" s="1161">
        <v>12.9</v>
      </c>
      <c r="N13" s="1050"/>
      <c r="O13" s="1038">
        <v>28.9</v>
      </c>
      <c r="P13" s="1039">
        <v>17.5</v>
      </c>
      <c r="Q13" s="1040">
        <v>46.4</v>
      </c>
      <c r="R13" s="280"/>
      <c r="S13" s="1038">
        <v>56.7</v>
      </c>
      <c r="T13" s="1041">
        <v>0.22198275862068995</v>
      </c>
    </row>
    <row r="14" spans="1:20" ht="13.5" thickBot="1">
      <c r="A14" s="1050"/>
      <c r="B14" s="1163" t="s">
        <v>180</v>
      </c>
      <c r="C14" s="1164" t="s">
        <v>660</v>
      </c>
      <c r="D14" s="1085">
        <v>7.645009222625886</v>
      </c>
      <c r="E14" s="1088">
        <v>-11.63261190947355</v>
      </c>
      <c r="F14" s="1088">
        <v>-10.49380295570699</v>
      </c>
      <c r="G14" s="1088">
        <v>-2.9627310795847697</v>
      </c>
      <c r="H14" s="1087">
        <v>-7.787446578488375</v>
      </c>
      <c r="I14" s="1086">
        <v>-6.39236920502092</v>
      </c>
      <c r="J14" s="1088">
        <v>-7.028425204516935</v>
      </c>
      <c r="K14" s="1088">
        <v>-7.726089330357146</v>
      </c>
      <c r="L14" s="1088">
        <v>-8.195543891129033</v>
      </c>
      <c r="M14" s="1087">
        <v>-8.895622593598448</v>
      </c>
      <c r="N14" s="1050"/>
      <c r="O14" s="1042">
        <v>-14.481405642554654</v>
      </c>
      <c r="P14" s="1043">
        <v>-10.750177658073145</v>
      </c>
      <c r="Q14" s="1044">
        <v>-25.231583300627797</v>
      </c>
      <c r="R14" s="280"/>
      <c r="S14" s="1042">
        <v>-38.238050224622484</v>
      </c>
      <c r="T14" s="1045">
        <v>0.5154835813918609</v>
      </c>
    </row>
    <row r="15" spans="1:20" ht="12.75">
      <c r="A15" s="1050"/>
      <c r="B15" s="1050"/>
      <c r="C15" s="1146"/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280"/>
      <c r="S15" s="1050"/>
      <c r="T15" s="1050"/>
    </row>
    <row r="16" spans="1:20" ht="12.75">
      <c r="A16" s="1050"/>
      <c r="B16" s="1049" t="s">
        <v>181</v>
      </c>
      <c r="C16" s="1146"/>
      <c r="D16" s="1165"/>
      <c r="E16" s="1165"/>
      <c r="F16" s="1165"/>
      <c r="G16" s="1165"/>
      <c r="H16" s="1165"/>
      <c r="I16" s="1165"/>
      <c r="J16" s="1165"/>
      <c r="K16" s="1165"/>
      <c r="L16" s="1165"/>
      <c r="M16" s="1165"/>
      <c r="N16" s="1165"/>
      <c r="O16" s="1050"/>
      <c r="P16" s="1050"/>
      <c r="Q16" s="1050"/>
      <c r="R16" s="280"/>
      <c r="S16" s="1165"/>
      <c r="T16" s="1165"/>
    </row>
    <row r="17" spans="1:20" ht="13.5" thickBot="1">
      <c r="A17" s="1050"/>
      <c r="B17" s="1049"/>
      <c r="C17" s="1146"/>
      <c r="D17" s="1165"/>
      <c r="E17" s="1165"/>
      <c r="F17" s="1165"/>
      <c r="G17" s="1165"/>
      <c r="H17" s="1165"/>
      <c r="I17" s="1165"/>
      <c r="J17" s="1165"/>
      <c r="K17" s="1165"/>
      <c r="L17" s="1165"/>
      <c r="M17" s="1165"/>
      <c r="N17" s="280"/>
      <c r="O17" s="280"/>
      <c r="P17" s="280"/>
      <c r="Q17" s="280"/>
      <c r="R17" s="280"/>
      <c r="S17" s="280"/>
      <c r="T17" s="280"/>
    </row>
    <row r="18" spans="1:20" ht="12.75">
      <c r="A18" s="1050"/>
      <c r="B18" s="1090"/>
      <c r="C18" s="1147"/>
      <c r="D18" s="1067" t="s">
        <v>482</v>
      </c>
      <c r="E18" s="1068"/>
      <c r="F18" s="1068"/>
      <c r="G18" s="1068"/>
      <c r="H18" s="1069"/>
      <c r="I18" s="1068" t="s">
        <v>483</v>
      </c>
      <c r="J18" s="1070"/>
      <c r="K18" s="1070"/>
      <c r="L18" s="1070"/>
      <c r="M18" s="1069"/>
      <c r="N18" s="280"/>
      <c r="O18" s="280"/>
      <c r="P18" s="280"/>
      <c r="Q18" s="280"/>
      <c r="R18" s="280"/>
      <c r="S18" s="280"/>
      <c r="T18" s="280"/>
    </row>
    <row r="19" spans="1:20" ht="12.75">
      <c r="A19" s="1050"/>
      <c r="B19" s="1093"/>
      <c r="C19" s="1148" t="s">
        <v>673</v>
      </c>
      <c r="D19" s="1149" t="s">
        <v>674</v>
      </c>
      <c r="E19" s="1150" t="s">
        <v>675</v>
      </c>
      <c r="F19" s="1150" t="s">
        <v>535</v>
      </c>
      <c r="G19" s="1150" t="s">
        <v>676</v>
      </c>
      <c r="H19" s="1151" t="s">
        <v>538</v>
      </c>
      <c r="I19" s="1152" t="s">
        <v>484</v>
      </c>
      <c r="J19" s="1150" t="s">
        <v>785</v>
      </c>
      <c r="K19" s="1150" t="s">
        <v>786</v>
      </c>
      <c r="L19" s="1150" t="s">
        <v>787</v>
      </c>
      <c r="M19" s="1151" t="s">
        <v>788</v>
      </c>
      <c r="N19" s="280"/>
      <c r="O19" s="280"/>
      <c r="P19" s="280"/>
      <c r="Q19" s="280"/>
      <c r="R19" s="280"/>
      <c r="S19" s="280"/>
      <c r="T19" s="280"/>
    </row>
    <row r="20" spans="1:20" ht="12.75">
      <c r="A20" s="1050"/>
      <c r="B20" s="1166"/>
      <c r="C20" s="1167"/>
      <c r="D20" s="1036"/>
      <c r="E20" s="1168"/>
      <c r="F20" s="1168"/>
      <c r="G20" s="1168"/>
      <c r="H20" s="1037"/>
      <c r="I20" s="1168"/>
      <c r="J20" s="1168"/>
      <c r="K20" s="1168"/>
      <c r="L20" s="1168"/>
      <c r="M20" s="1037"/>
      <c r="N20" s="280"/>
      <c r="O20" s="280"/>
      <c r="P20" s="280"/>
      <c r="Q20" s="280"/>
      <c r="R20" s="280"/>
      <c r="S20" s="280"/>
      <c r="T20" s="280"/>
    </row>
    <row r="21" spans="1:20" ht="25.5">
      <c r="A21" s="1050"/>
      <c r="B21" s="1169" t="s">
        <v>182</v>
      </c>
      <c r="C21" s="1154" t="s">
        <v>814</v>
      </c>
      <c r="D21" s="1170">
        <v>4796</v>
      </c>
      <c r="E21" s="1160">
        <v>4658.951307066181</v>
      </c>
      <c r="F21" s="1160">
        <v>4826.010628752413</v>
      </c>
      <c r="G21" s="1160">
        <v>4881.008779821031</v>
      </c>
      <c r="H21" s="1161">
        <v>4891.015035032526</v>
      </c>
      <c r="I21" s="1160">
        <v>4901.015138821654</v>
      </c>
      <c r="J21" s="1162">
        <v>4911.0200827760555</v>
      </c>
      <c r="K21" s="1162">
        <v>4921.963672353095</v>
      </c>
      <c r="L21" s="1162">
        <v>4931.959864040805</v>
      </c>
      <c r="M21" s="1161">
        <v>4941.996357900971</v>
      </c>
      <c r="N21" s="280"/>
      <c r="O21" s="280"/>
      <c r="P21" s="280"/>
      <c r="Q21" s="280"/>
      <c r="R21" s="280"/>
      <c r="S21" s="280"/>
      <c r="T21" s="280"/>
    </row>
    <row r="22" spans="1:20" ht="25.5">
      <c r="A22" s="1050"/>
      <c r="B22" s="1169" t="s">
        <v>325</v>
      </c>
      <c r="C22" s="1154" t="s">
        <v>814</v>
      </c>
      <c r="D22" s="1159">
        <v>18.411043619575576</v>
      </c>
      <c r="E22" s="1160">
        <v>-137.04869293381986</v>
      </c>
      <c r="F22" s="1160">
        <v>167.0593216862324</v>
      </c>
      <c r="G22" s="1160">
        <v>54.9981510686172</v>
      </c>
      <c r="H22" s="1161">
        <v>10.006255211495427</v>
      </c>
      <c r="I22" s="1160">
        <v>10.00010378912784</v>
      </c>
      <c r="J22" s="1162">
        <v>10.004943954401883</v>
      </c>
      <c r="K22" s="1162">
        <v>10.94358957703963</v>
      </c>
      <c r="L22" s="1162">
        <v>9.996191687710148</v>
      </c>
      <c r="M22" s="1161">
        <v>10.036493860165717</v>
      </c>
      <c r="N22" s="280"/>
      <c r="O22" s="280"/>
      <c r="P22" s="280"/>
      <c r="Q22" s="280"/>
      <c r="R22" s="280"/>
      <c r="S22" s="280"/>
      <c r="T22" s="280"/>
    </row>
    <row r="23" spans="1:20" ht="38.25">
      <c r="A23" s="1050"/>
      <c r="B23" s="1171" t="s">
        <v>448</v>
      </c>
      <c r="C23" s="1154" t="s">
        <v>814</v>
      </c>
      <c r="D23" s="330">
        <v>29.788408241052473</v>
      </c>
      <c r="E23" s="331">
        <v>55.943213503808835</v>
      </c>
      <c r="F23" s="331">
        <v>45.74140338864541</v>
      </c>
      <c r="G23" s="331">
        <v>34.56884454564013</v>
      </c>
      <c r="H23" s="332">
        <v>31.48048336236951</v>
      </c>
      <c r="I23" s="331">
        <v>32.59562053245822</v>
      </c>
      <c r="J23" s="333">
        <v>35.600909023399225</v>
      </c>
      <c r="K23" s="333">
        <v>39.33955464603697</v>
      </c>
      <c r="L23" s="333">
        <v>43.69215675670749</v>
      </c>
      <c r="M23" s="332">
        <v>48.73245892916306</v>
      </c>
      <c r="N23" s="280"/>
      <c r="O23" s="280"/>
      <c r="P23" s="280"/>
      <c r="Q23" s="280"/>
      <c r="R23" s="280"/>
      <c r="S23" s="280"/>
      <c r="T23" s="280"/>
    </row>
    <row r="24" spans="1:20" ht="38.25">
      <c r="A24" s="1050"/>
      <c r="B24" s="1171" t="s">
        <v>323</v>
      </c>
      <c r="C24" s="1154" t="s">
        <v>814</v>
      </c>
      <c r="D24" s="330">
        <v>-11.377364621476897</v>
      </c>
      <c r="E24" s="331">
        <v>-23.8919064376287</v>
      </c>
      <c r="F24" s="331">
        <v>-30.782081702413</v>
      </c>
      <c r="G24" s="331">
        <v>-30.070693477022935</v>
      </c>
      <c r="H24" s="332">
        <v>-31.574228150874085</v>
      </c>
      <c r="I24" s="331">
        <v>-29.99551674333038</v>
      </c>
      <c r="J24" s="333">
        <v>-26.995965068997343</v>
      </c>
      <c r="K24" s="333">
        <v>-26.995965068997343</v>
      </c>
      <c r="L24" s="333">
        <v>-26.995965068997343</v>
      </c>
      <c r="M24" s="332">
        <v>-26.995965068997343</v>
      </c>
      <c r="N24" s="280"/>
      <c r="O24" s="280"/>
      <c r="P24" s="280"/>
      <c r="Q24" s="280"/>
      <c r="R24" s="280"/>
      <c r="S24" s="280"/>
      <c r="T24" s="280"/>
    </row>
    <row r="25" spans="1:20" ht="51">
      <c r="A25" s="1050"/>
      <c r="B25" s="1171" t="s">
        <v>326</v>
      </c>
      <c r="C25" s="1154" t="s">
        <v>814</v>
      </c>
      <c r="D25" s="330">
        <v>0</v>
      </c>
      <c r="E25" s="331">
        <v>-169.1</v>
      </c>
      <c r="F25" s="331">
        <v>152.1</v>
      </c>
      <c r="G25" s="331">
        <v>50.5</v>
      </c>
      <c r="H25" s="332">
        <v>10.1</v>
      </c>
      <c r="I25" s="331">
        <v>7.4</v>
      </c>
      <c r="J25" s="333">
        <v>1.4</v>
      </c>
      <c r="K25" s="333">
        <v>-1.4</v>
      </c>
      <c r="L25" s="333">
        <v>-6.7</v>
      </c>
      <c r="M25" s="332">
        <v>-11.7</v>
      </c>
      <c r="N25" s="280"/>
      <c r="O25" s="280"/>
      <c r="P25" s="280"/>
      <c r="Q25" s="280"/>
      <c r="R25" s="280"/>
      <c r="S25" s="280"/>
      <c r="T25" s="280"/>
    </row>
    <row r="26" spans="1:20" ht="12.75">
      <c r="A26" s="1050"/>
      <c r="B26" s="1172"/>
      <c r="C26" s="1173"/>
      <c r="D26" s="1174"/>
      <c r="E26" s="1175"/>
      <c r="F26" s="1175"/>
      <c r="G26" s="1175"/>
      <c r="H26" s="1176"/>
      <c r="I26" s="1175"/>
      <c r="J26" s="1175"/>
      <c r="K26" s="1175"/>
      <c r="L26" s="1175"/>
      <c r="M26" s="1176"/>
      <c r="N26" s="280"/>
      <c r="O26" s="280"/>
      <c r="P26" s="280"/>
      <c r="Q26" s="280"/>
      <c r="R26" s="280"/>
      <c r="S26" s="280"/>
      <c r="T26" s="280"/>
    </row>
    <row r="27" spans="1:20" ht="25.5">
      <c r="A27" s="1050"/>
      <c r="B27" s="1169" t="s">
        <v>187</v>
      </c>
      <c r="C27" s="1154" t="s">
        <v>552</v>
      </c>
      <c r="D27" s="1170">
        <v>27442.5</v>
      </c>
      <c r="E27" s="1160">
        <v>26786.445197405887</v>
      </c>
      <c r="F27" s="1160">
        <v>26750.635090851607</v>
      </c>
      <c r="G27" s="1160">
        <v>25371.57915380072</v>
      </c>
      <c r="H27" s="1161">
        <v>24285.92765901395</v>
      </c>
      <c r="I27" s="1160">
        <v>24194.592671263927</v>
      </c>
      <c r="J27" s="1162">
        <v>24710.96917208393</v>
      </c>
      <c r="K27" s="1162">
        <v>24690.032871184278</v>
      </c>
      <c r="L27" s="1162">
        <v>24748.532077601347</v>
      </c>
      <c r="M27" s="1161">
        <v>24685.941626647957</v>
      </c>
      <c r="N27" s="280"/>
      <c r="O27" s="280"/>
      <c r="P27" s="280"/>
      <c r="Q27" s="280"/>
      <c r="R27" s="280"/>
      <c r="S27" s="280"/>
      <c r="T27" s="280"/>
    </row>
    <row r="28" spans="1:20" ht="25.5">
      <c r="A28" s="1050"/>
      <c r="B28" s="1097" t="s">
        <v>184</v>
      </c>
      <c r="C28" s="1154" t="s">
        <v>552</v>
      </c>
      <c r="D28" s="1159">
        <v>0</v>
      </c>
      <c r="E28" s="1160">
        <v>-656.0548025941151</v>
      </c>
      <c r="F28" s="1160">
        <v>-35.81010655427991</v>
      </c>
      <c r="G28" s="1160">
        <v>-1379.0559370508863</v>
      </c>
      <c r="H28" s="1161">
        <v>-1085.6514947867727</v>
      </c>
      <c r="I28" s="1160">
        <v>-91.33498775002226</v>
      </c>
      <c r="J28" s="1162">
        <v>516.3765008200025</v>
      </c>
      <c r="K28" s="1162">
        <v>-20.936300899651542</v>
      </c>
      <c r="L28" s="1162">
        <v>58.49920641706922</v>
      </c>
      <c r="M28" s="1161">
        <v>-62.59045095339026</v>
      </c>
      <c r="N28" s="280"/>
      <c r="O28" s="280"/>
      <c r="P28" s="280"/>
      <c r="Q28" s="280"/>
      <c r="R28" s="280"/>
      <c r="S28" s="280"/>
      <c r="T28" s="280"/>
    </row>
    <row r="29" spans="1:20" ht="12.75">
      <c r="A29" s="1050"/>
      <c r="B29" s="1177" t="s">
        <v>426</v>
      </c>
      <c r="C29" s="1154" t="s">
        <v>552</v>
      </c>
      <c r="D29" s="330">
        <v>0</v>
      </c>
      <c r="E29" s="331">
        <v>-457.1</v>
      </c>
      <c r="F29" s="331">
        <v>7.3</v>
      </c>
      <c r="G29" s="331">
        <v>-130</v>
      </c>
      <c r="H29" s="332">
        <v>21.790992851614646</v>
      </c>
      <c r="I29" s="331">
        <v>-26.763058476932116</v>
      </c>
      <c r="J29" s="333">
        <v>599.7657601175927</v>
      </c>
      <c r="K29" s="333">
        <v>89.48571139957856</v>
      </c>
      <c r="L29" s="333">
        <v>205.8793461145</v>
      </c>
      <c r="M29" s="332">
        <v>122.90668715687468</v>
      </c>
      <c r="N29" s="280"/>
      <c r="O29" s="280"/>
      <c r="P29" s="280"/>
      <c r="Q29" s="280"/>
      <c r="R29" s="280"/>
      <c r="S29" s="280"/>
      <c r="T29" s="280"/>
    </row>
    <row r="30" spans="1:20" ht="12.75">
      <c r="A30" s="1050"/>
      <c r="B30" s="1177" t="s">
        <v>308</v>
      </c>
      <c r="C30" s="1154" t="s">
        <v>552</v>
      </c>
      <c r="D30" s="330">
        <v>0</v>
      </c>
      <c r="E30" s="331">
        <v>-54.88501729362318</v>
      </c>
      <c r="F30" s="331">
        <v>-53.57278618993642</v>
      </c>
      <c r="G30" s="331">
        <v>-53.50122435763586</v>
      </c>
      <c r="H30" s="332">
        <v>-50.74323226266369</v>
      </c>
      <c r="I30" s="331">
        <v>-48.57192927309014</v>
      </c>
      <c r="J30" s="333">
        <v>-48.3892592975901</v>
      </c>
      <c r="K30" s="333">
        <v>-49.422012299230104</v>
      </c>
      <c r="L30" s="333">
        <v>-49.3801396974308</v>
      </c>
      <c r="M30" s="332">
        <v>-49.49713811026494</v>
      </c>
      <c r="N30" s="280"/>
      <c r="O30" s="280"/>
      <c r="P30" s="280"/>
      <c r="Q30" s="280"/>
      <c r="R30" s="280"/>
      <c r="S30" s="280"/>
      <c r="T30" s="280"/>
    </row>
    <row r="31" spans="1:20" ht="12.75">
      <c r="A31" s="1050"/>
      <c r="B31" s="1177" t="s">
        <v>309</v>
      </c>
      <c r="C31" s="1154" t="s">
        <v>552</v>
      </c>
      <c r="D31" s="330">
        <v>0</v>
      </c>
      <c r="E31" s="331">
        <v>0</v>
      </c>
      <c r="F31" s="331">
        <v>0</v>
      </c>
      <c r="G31" s="331">
        <v>0</v>
      </c>
      <c r="H31" s="332">
        <v>-1</v>
      </c>
      <c r="I31" s="331">
        <v>-16</v>
      </c>
      <c r="J31" s="333">
        <v>-35</v>
      </c>
      <c r="K31" s="333">
        <v>-61</v>
      </c>
      <c r="L31" s="333">
        <v>-98</v>
      </c>
      <c r="M31" s="332">
        <v>-136</v>
      </c>
      <c r="N31" s="280"/>
      <c r="O31" s="280"/>
      <c r="P31" s="280"/>
      <c r="Q31" s="280"/>
      <c r="R31" s="280"/>
      <c r="S31" s="280"/>
      <c r="T31" s="280"/>
    </row>
    <row r="32" spans="1:20" ht="12.75">
      <c r="A32" s="1050"/>
      <c r="B32" s="1177" t="s">
        <v>327</v>
      </c>
      <c r="C32" s="1154" t="s">
        <v>552</v>
      </c>
      <c r="D32" s="330">
        <v>0</v>
      </c>
      <c r="E32" s="331">
        <v>0</v>
      </c>
      <c r="F32" s="331">
        <v>0</v>
      </c>
      <c r="G32" s="331">
        <v>0</v>
      </c>
      <c r="H32" s="332">
        <v>0</v>
      </c>
      <c r="I32" s="331">
        <v>0</v>
      </c>
      <c r="J32" s="333">
        <v>0</v>
      </c>
      <c r="K32" s="333">
        <v>0</v>
      </c>
      <c r="L32" s="333">
        <v>0</v>
      </c>
      <c r="M32" s="332">
        <v>0</v>
      </c>
      <c r="N32" s="280"/>
      <c r="O32" s="280"/>
      <c r="P32" s="280"/>
      <c r="Q32" s="280"/>
      <c r="R32" s="280"/>
      <c r="S32" s="280"/>
      <c r="T32" s="280"/>
    </row>
    <row r="33" spans="1:20" ht="12.75">
      <c r="A33" s="1050"/>
      <c r="B33" s="1177" t="s">
        <v>200</v>
      </c>
      <c r="C33" s="1154" t="s">
        <v>552</v>
      </c>
      <c r="D33" s="330">
        <v>0</v>
      </c>
      <c r="E33" s="331">
        <v>-144.06978530049193</v>
      </c>
      <c r="F33" s="331">
        <v>10.462679635656512</v>
      </c>
      <c r="G33" s="331">
        <v>-165.09025644655472</v>
      </c>
      <c r="H33" s="332">
        <v>0</v>
      </c>
      <c r="I33" s="331">
        <v>0</v>
      </c>
      <c r="J33" s="333">
        <v>0</v>
      </c>
      <c r="K33" s="333">
        <v>0</v>
      </c>
      <c r="L33" s="333">
        <v>0</v>
      </c>
      <c r="M33" s="332">
        <v>0</v>
      </c>
      <c r="N33" s="280"/>
      <c r="O33" s="280"/>
      <c r="P33" s="280"/>
      <c r="Q33" s="280"/>
      <c r="R33" s="280"/>
      <c r="S33" s="280"/>
      <c r="T33" s="280"/>
    </row>
    <row r="34" spans="1:20" ht="12.75">
      <c r="A34" s="1050"/>
      <c r="B34" s="1177" t="s">
        <v>201</v>
      </c>
      <c r="C34" s="1154" t="s">
        <v>552</v>
      </c>
      <c r="D34" s="330">
        <v>0</v>
      </c>
      <c r="E34" s="331">
        <v>0</v>
      </c>
      <c r="F34" s="331">
        <v>0</v>
      </c>
      <c r="G34" s="331">
        <v>-1030.4644562466956</v>
      </c>
      <c r="H34" s="332">
        <v>-1055.6992553757236</v>
      </c>
      <c r="I34" s="331">
        <v>0</v>
      </c>
      <c r="J34" s="333">
        <v>0</v>
      </c>
      <c r="K34" s="333">
        <v>0</v>
      </c>
      <c r="L34" s="333">
        <v>0</v>
      </c>
      <c r="M34" s="332">
        <v>0</v>
      </c>
      <c r="N34" s="280"/>
      <c r="O34" s="280"/>
      <c r="P34" s="280"/>
      <c r="Q34" s="280"/>
      <c r="R34" s="280"/>
      <c r="S34" s="280"/>
      <c r="T34" s="280"/>
    </row>
    <row r="35" spans="1:20" ht="12.75">
      <c r="A35" s="1050"/>
      <c r="B35" s="1172"/>
      <c r="C35" s="1173"/>
      <c r="D35" s="1178"/>
      <c r="E35" s="1080"/>
      <c r="F35" s="1080"/>
      <c r="G35" s="1080"/>
      <c r="H35" s="1081"/>
      <c r="I35" s="1080"/>
      <c r="J35" s="1080"/>
      <c r="K35" s="1080"/>
      <c r="L35" s="1080"/>
      <c r="M35" s="1081"/>
      <c r="N35" s="280"/>
      <c r="O35" s="280"/>
      <c r="P35" s="280"/>
      <c r="Q35" s="280"/>
      <c r="R35" s="280"/>
      <c r="S35" s="280"/>
      <c r="T35" s="280"/>
    </row>
    <row r="36" spans="1:20" ht="25.5">
      <c r="A36" s="1050"/>
      <c r="B36" s="1169" t="s">
        <v>187</v>
      </c>
      <c r="C36" s="1154"/>
      <c r="D36" s="1179"/>
      <c r="E36" s="1180"/>
      <c r="F36" s="1180"/>
      <c r="G36" s="1180"/>
      <c r="H36" s="1181"/>
      <c r="I36" s="1180"/>
      <c r="J36" s="1180"/>
      <c r="K36" s="1180"/>
      <c r="L36" s="1180"/>
      <c r="M36" s="1181"/>
      <c r="N36" s="280"/>
      <c r="O36" s="280"/>
      <c r="P36" s="280"/>
      <c r="Q36" s="280"/>
      <c r="R36" s="280"/>
      <c r="S36" s="280"/>
      <c r="T36" s="280"/>
    </row>
    <row r="37" spans="1:20" ht="12.75">
      <c r="A37" s="1050"/>
      <c r="B37" s="1171" t="s">
        <v>695</v>
      </c>
      <c r="C37" s="1154" t="s">
        <v>552</v>
      </c>
      <c r="D37" s="330">
        <v>17231.53428863234</v>
      </c>
      <c r="E37" s="331">
        <v>16986.07185731611</v>
      </c>
      <c r="F37" s="331">
        <v>17083.980089974037</v>
      </c>
      <c r="G37" s="331">
        <v>16260.70716609991</v>
      </c>
      <c r="H37" s="332">
        <v>15739.43599195964</v>
      </c>
      <c r="I37" s="331">
        <v>15703.638888327863</v>
      </c>
      <c r="J37" s="333">
        <v>16138.156491597</v>
      </c>
      <c r="K37" s="333">
        <v>16185.009469663044</v>
      </c>
      <c r="L37" s="333">
        <v>16226.018192180643</v>
      </c>
      <c r="M37" s="332">
        <v>16227.415795658475</v>
      </c>
      <c r="N37" s="280"/>
      <c r="O37" s="280"/>
      <c r="P37" s="280"/>
      <c r="Q37" s="280"/>
      <c r="R37" s="280"/>
      <c r="S37" s="280"/>
      <c r="T37" s="280"/>
    </row>
    <row r="38" spans="1:20" ht="12.75">
      <c r="A38" s="1050"/>
      <c r="B38" s="1171" t="s">
        <v>694</v>
      </c>
      <c r="C38" s="1154" t="s">
        <v>552</v>
      </c>
      <c r="D38" s="330">
        <v>9571.715182603006</v>
      </c>
      <c r="E38" s="331">
        <v>9219.560492040671</v>
      </c>
      <c r="F38" s="331">
        <v>9050.832270002567</v>
      </c>
      <c r="G38" s="331">
        <v>8539.283033853682</v>
      </c>
      <c r="H38" s="332">
        <v>8008.037177617455</v>
      </c>
      <c r="I38" s="331">
        <v>7953.862351692753</v>
      </c>
      <c r="J38" s="333">
        <v>8023.778734552458</v>
      </c>
      <c r="K38" s="333">
        <v>7954.8623478699565</v>
      </c>
      <c r="L38" s="333">
        <v>7972.352831769426</v>
      </c>
      <c r="M38" s="332">
        <v>7909.140415641393</v>
      </c>
      <c r="N38" s="280"/>
      <c r="O38" s="280"/>
      <c r="P38" s="280"/>
      <c r="Q38" s="280"/>
      <c r="R38" s="280"/>
      <c r="S38" s="280"/>
      <c r="T38" s="280"/>
    </row>
    <row r="39" spans="1:20" ht="12.75">
      <c r="A39" s="1050"/>
      <c r="B39" s="1171" t="s">
        <v>202</v>
      </c>
      <c r="C39" s="1154" t="s">
        <v>552</v>
      </c>
      <c r="D39" s="330">
        <v>639.2591755762408</v>
      </c>
      <c r="E39" s="331">
        <v>580.7607456114259</v>
      </c>
      <c r="F39" s="331">
        <v>615.7998188413251</v>
      </c>
      <c r="G39" s="331">
        <v>571.625931378251</v>
      </c>
      <c r="H39" s="332">
        <v>538.4914669679736</v>
      </c>
      <c r="I39" s="331">
        <v>537.12840877443</v>
      </c>
      <c r="J39" s="333">
        <v>549.0709234655933</v>
      </c>
      <c r="K39" s="333">
        <v>550.1980311824013</v>
      </c>
      <c r="L39" s="333">
        <v>550.1980311824013</v>
      </c>
      <c r="M39" s="332">
        <v>549.4223928792119</v>
      </c>
      <c r="N39" s="280"/>
      <c r="O39" s="280"/>
      <c r="P39" s="280"/>
      <c r="Q39" s="280"/>
      <c r="R39" s="280"/>
      <c r="S39" s="280"/>
      <c r="T39" s="280"/>
    </row>
    <row r="40" spans="1:20" ht="12.75">
      <c r="A40" s="1050"/>
      <c r="B40" s="1169" t="s">
        <v>324</v>
      </c>
      <c r="C40" s="1154" t="s">
        <v>552</v>
      </c>
      <c r="D40" s="1098">
        <v>27442.508646811588</v>
      </c>
      <c r="E40" s="1099">
        <v>26786.39309496821</v>
      </c>
      <c r="F40" s="1099">
        <v>26750.61217881793</v>
      </c>
      <c r="G40" s="1099">
        <v>25371.616131331844</v>
      </c>
      <c r="H40" s="1100">
        <v>24285.96463654507</v>
      </c>
      <c r="I40" s="1099">
        <v>24194.62964879505</v>
      </c>
      <c r="J40" s="1101">
        <v>24711.006149615052</v>
      </c>
      <c r="K40" s="1101">
        <v>24690.0698487154</v>
      </c>
      <c r="L40" s="1101">
        <v>24748.56905513247</v>
      </c>
      <c r="M40" s="1100">
        <v>24685.97860417908</v>
      </c>
      <c r="N40" s="280"/>
      <c r="O40" s="280"/>
      <c r="P40" s="280"/>
      <c r="Q40" s="280"/>
      <c r="R40" s="280"/>
      <c r="S40" s="280"/>
      <c r="T40" s="280"/>
    </row>
    <row r="41" spans="1:20" ht="12.75">
      <c r="A41" s="1050"/>
      <c r="B41" s="1097"/>
      <c r="C41" s="1154"/>
      <c r="D41" s="1174"/>
      <c r="E41" s="1175"/>
      <c r="F41" s="1175"/>
      <c r="G41" s="1175"/>
      <c r="H41" s="1176"/>
      <c r="I41" s="1175"/>
      <c r="J41" s="1175"/>
      <c r="K41" s="1175"/>
      <c r="L41" s="1175"/>
      <c r="M41" s="1176"/>
      <c r="N41" s="280"/>
      <c r="O41" s="280"/>
      <c r="P41" s="280"/>
      <c r="Q41" s="280"/>
      <c r="R41" s="280"/>
      <c r="S41" s="280"/>
      <c r="T41" s="280"/>
    </row>
    <row r="42" spans="1:20" ht="51">
      <c r="A42" s="1050"/>
      <c r="B42" s="1097" t="s">
        <v>349</v>
      </c>
      <c r="C42" s="1154"/>
      <c r="D42" s="1179"/>
      <c r="E42" s="1180"/>
      <c r="F42" s="1180"/>
      <c r="G42" s="1180"/>
      <c r="H42" s="1181"/>
      <c r="I42" s="1180"/>
      <c r="J42" s="1180"/>
      <c r="K42" s="1180"/>
      <c r="L42" s="1180"/>
      <c r="M42" s="1181"/>
      <c r="N42" s="280"/>
      <c r="O42" s="280"/>
      <c r="P42" s="280"/>
      <c r="Q42" s="280"/>
      <c r="R42" s="280"/>
      <c r="S42" s="280"/>
      <c r="T42" s="280"/>
    </row>
    <row r="43" spans="1:20" ht="12.75">
      <c r="A43" s="1050"/>
      <c r="B43" s="1171" t="s">
        <v>695</v>
      </c>
      <c r="C43" s="1154" t="s">
        <v>350</v>
      </c>
      <c r="D43" s="330">
        <v>150986.26417066815</v>
      </c>
      <c r="E43" s="331">
        <v>203584.554043422</v>
      </c>
      <c r="F43" s="331">
        <v>192253.5893249269</v>
      </c>
      <c r="G43" s="331">
        <v>132484.41094598046</v>
      </c>
      <c r="H43" s="332">
        <v>122176.02190486882</v>
      </c>
      <c r="I43" s="331">
        <v>125837.56714792983</v>
      </c>
      <c r="J43" s="333">
        <v>137088.3975282902</v>
      </c>
      <c r="K43" s="333">
        <v>151224.35070925605</v>
      </c>
      <c r="L43" s="333">
        <v>167392.03205629866</v>
      </c>
      <c r="M43" s="332">
        <v>185894.69171820194</v>
      </c>
      <c r="N43" s="280"/>
      <c r="O43" s="280"/>
      <c r="P43" s="280"/>
      <c r="Q43" s="280"/>
      <c r="R43" s="280"/>
      <c r="S43" s="280"/>
      <c r="T43" s="280"/>
    </row>
    <row r="44" spans="1:20" ht="12.75">
      <c r="A44" s="1050"/>
      <c r="B44" s="1171" t="s">
        <v>694</v>
      </c>
      <c r="C44" s="1154" t="s">
        <v>350</v>
      </c>
      <c r="D44" s="330">
        <v>83864.24907194539</v>
      </c>
      <c r="E44" s="331">
        <v>323226.7932981229</v>
      </c>
      <c r="F44" s="331">
        <v>212281.3804633618</v>
      </c>
      <c r="G44" s="331">
        <v>186685.3127778618</v>
      </c>
      <c r="H44" s="332">
        <v>166269.60964441008</v>
      </c>
      <c r="I44" s="331">
        <v>173692.03248024115</v>
      </c>
      <c r="J44" s="333">
        <v>190606.7963286067</v>
      </c>
      <c r="K44" s="333">
        <v>211244.83275900036</v>
      </c>
      <c r="L44" s="333">
        <v>235871.0481254237</v>
      </c>
      <c r="M44" s="332">
        <v>264843.8872118437</v>
      </c>
      <c r="N44" s="280"/>
      <c r="O44" s="280"/>
      <c r="P44" s="280"/>
      <c r="Q44" s="280"/>
      <c r="R44" s="280"/>
      <c r="S44" s="280"/>
      <c r="T44" s="280"/>
    </row>
    <row r="45" spans="1:20" ht="12.75">
      <c r="A45" s="1050"/>
      <c r="B45" s="1171" t="s">
        <v>202</v>
      </c>
      <c r="C45" s="1154" t="s">
        <v>350</v>
      </c>
      <c r="D45" s="330">
        <v>0</v>
      </c>
      <c r="E45" s="331">
        <v>0</v>
      </c>
      <c r="F45" s="331">
        <v>0</v>
      </c>
      <c r="G45" s="331">
        <v>0</v>
      </c>
      <c r="H45" s="332">
        <v>0</v>
      </c>
      <c r="I45" s="331">
        <v>0</v>
      </c>
      <c r="J45" s="333">
        <v>0</v>
      </c>
      <c r="K45" s="333">
        <v>0</v>
      </c>
      <c r="L45" s="333">
        <v>0</v>
      </c>
      <c r="M45" s="332">
        <v>0</v>
      </c>
      <c r="N45" s="280"/>
      <c r="O45" s="280"/>
      <c r="P45" s="280"/>
      <c r="Q45" s="280"/>
      <c r="R45" s="280"/>
      <c r="S45" s="280"/>
      <c r="T45" s="280"/>
    </row>
    <row r="46" spans="1:20" ht="39" thickBot="1">
      <c r="A46" s="1050"/>
      <c r="B46" s="1109" t="s">
        <v>351</v>
      </c>
      <c r="C46" s="1164" t="s">
        <v>350</v>
      </c>
      <c r="D46" s="1085">
        <v>234850.51324261352</v>
      </c>
      <c r="E46" s="1086">
        <v>526811.3473415449</v>
      </c>
      <c r="F46" s="1086">
        <v>404534.9697882887</v>
      </c>
      <c r="G46" s="1086">
        <v>319169.7237238423</v>
      </c>
      <c r="H46" s="1087">
        <v>288445.6315492789</v>
      </c>
      <c r="I46" s="1086">
        <v>299529.59962817095</v>
      </c>
      <c r="J46" s="1088">
        <v>327695.1938568969</v>
      </c>
      <c r="K46" s="1088">
        <v>362469.1834682564</v>
      </c>
      <c r="L46" s="1088">
        <v>403263.08018172235</v>
      </c>
      <c r="M46" s="1087">
        <v>450738.5789300456</v>
      </c>
      <c r="N46" s="336"/>
      <c r="O46" s="280"/>
      <c r="P46" s="280"/>
      <c r="Q46" s="280"/>
      <c r="R46" s="280"/>
      <c r="S46" s="280"/>
      <c r="T46" s="280"/>
    </row>
    <row r="47" spans="1:20" ht="12.7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</row>
    <row r="48" spans="1:20" ht="12.75">
      <c r="A48" s="1050"/>
      <c r="B48" s="1050"/>
      <c r="C48" s="1146"/>
      <c r="D48" s="1165"/>
      <c r="E48" s="1165"/>
      <c r="F48" s="1165"/>
      <c r="G48" s="1165"/>
      <c r="H48" s="1165"/>
      <c r="I48" s="1165"/>
      <c r="J48" s="1165"/>
      <c r="K48" s="1165"/>
      <c r="L48" s="1165"/>
      <c r="M48" s="1165"/>
      <c r="N48" s="280"/>
      <c r="O48" s="280"/>
      <c r="P48" s="280"/>
      <c r="Q48" s="280"/>
      <c r="R48" s="280"/>
      <c r="S48" s="280"/>
      <c r="T48" s="280"/>
    </row>
    <row r="49" spans="1:20" ht="12.75">
      <c r="A49" s="1050"/>
      <c r="B49" s="1049" t="s">
        <v>198</v>
      </c>
      <c r="C49" s="1146"/>
      <c r="D49" s="1165"/>
      <c r="E49" s="1165"/>
      <c r="F49" s="1165"/>
      <c r="G49" s="1165"/>
      <c r="H49" s="1165"/>
      <c r="I49" s="1165"/>
      <c r="J49" s="1165"/>
      <c r="K49" s="1165"/>
      <c r="L49" s="1165"/>
      <c r="M49" s="1165"/>
      <c r="N49" s="280"/>
      <c r="O49" s="280"/>
      <c r="P49" s="280"/>
      <c r="Q49" s="280"/>
      <c r="R49" s="280"/>
      <c r="S49" s="280"/>
      <c r="T49" s="280"/>
    </row>
    <row r="50" spans="1:20" ht="13.5" thickBot="1">
      <c r="A50" s="1050"/>
      <c r="B50" s="1049"/>
      <c r="C50" s="1146"/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280"/>
      <c r="O50" s="280"/>
      <c r="P50" s="280"/>
      <c r="Q50" s="280"/>
      <c r="R50" s="280"/>
      <c r="S50" s="280"/>
      <c r="T50" s="280"/>
    </row>
    <row r="51" spans="1:20" ht="12.75">
      <c r="A51" s="1050"/>
      <c r="B51" s="1090"/>
      <c r="C51" s="1182"/>
      <c r="D51" s="1067" t="s">
        <v>482</v>
      </c>
      <c r="E51" s="1068"/>
      <c r="F51" s="1068"/>
      <c r="G51" s="1068"/>
      <c r="H51" s="1069"/>
      <c r="I51" s="1068" t="s">
        <v>483</v>
      </c>
      <c r="J51" s="1070"/>
      <c r="K51" s="1070"/>
      <c r="L51" s="1070"/>
      <c r="M51" s="1069"/>
      <c r="N51" s="280"/>
      <c r="O51" s="280"/>
      <c r="P51" s="280"/>
      <c r="Q51" s="280"/>
      <c r="R51" s="280"/>
      <c r="S51" s="280"/>
      <c r="T51" s="280"/>
    </row>
    <row r="52" spans="1:20" ht="12.75">
      <c r="A52" s="1050"/>
      <c r="B52" s="1093"/>
      <c r="C52" s="1183" t="s">
        <v>673</v>
      </c>
      <c r="D52" s="1149" t="s">
        <v>674</v>
      </c>
      <c r="E52" s="1150" t="s">
        <v>675</v>
      </c>
      <c r="F52" s="1150" t="s">
        <v>535</v>
      </c>
      <c r="G52" s="1150" t="s">
        <v>676</v>
      </c>
      <c r="H52" s="1151" t="s">
        <v>538</v>
      </c>
      <c r="I52" s="1152" t="s">
        <v>484</v>
      </c>
      <c r="J52" s="1150" t="s">
        <v>785</v>
      </c>
      <c r="K52" s="1150" t="s">
        <v>786</v>
      </c>
      <c r="L52" s="1150" t="s">
        <v>787</v>
      </c>
      <c r="M52" s="1151" t="s">
        <v>788</v>
      </c>
      <c r="N52" s="280"/>
      <c r="O52" s="280"/>
      <c r="P52" s="280"/>
      <c r="Q52" s="280"/>
      <c r="R52" s="280"/>
      <c r="S52" s="280"/>
      <c r="T52" s="280"/>
    </row>
    <row r="53" spans="1:20" ht="12.75">
      <c r="A53" s="1050"/>
      <c r="B53" s="1184" t="s">
        <v>199</v>
      </c>
      <c r="C53" s="1185"/>
      <c r="D53" s="1186"/>
      <c r="E53" s="1187"/>
      <c r="F53" s="1187"/>
      <c r="G53" s="1187"/>
      <c r="H53" s="1188"/>
      <c r="I53" s="1175"/>
      <c r="J53" s="1175"/>
      <c r="K53" s="1175"/>
      <c r="L53" s="1175"/>
      <c r="M53" s="1176"/>
      <c r="N53" s="342"/>
      <c r="O53" s="280"/>
      <c r="P53" s="280"/>
      <c r="Q53" s="280"/>
      <c r="R53" s="280"/>
      <c r="S53" s="280"/>
      <c r="T53" s="280"/>
    </row>
    <row r="54" spans="1:20" ht="12.75">
      <c r="A54" s="1050"/>
      <c r="B54" s="1166" t="s">
        <v>153</v>
      </c>
      <c r="C54" s="1189"/>
      <c r="D54" s="1190"/>
      <c r="E54" s="1191"/>
      <c r="F54" s="1191"/>
      <c r="G54" s="1191"/>
      <c r="H54" s="1192"/>
      <c r="I54" s="1080"/>
      <c r="J54" s="1080"/>
      <c r="K54" s="1080"/>
      <c r="L54" s="1080"/>
      <c r="M54" s="1081"/>
      <c r="N54" s="342"/>
      <c r="O54" s="280"/>
      <c r="P54" s="280"/>
      <c r="Q54" s="280"/>
      <c r="R54" s="280"/>
      <c r="S54" s="280"/>
      <c r="T54" s="280"/>
    </row>
    <row r="55" spans="1:20" ht="12.75">
      <c r="A55" s="1050"/>
      <c r="B55" s="1193" t="s">
        <v>154</v>
      </c>
      <c r="C55" s="1189" t="s">
        <v>155</v>
      </c>
      <c r="D55" s="343">
        <v>1</v>
      </c>
      <c r="E55" s="344">
        <v>0</v>
      </c>
      <c r="F55" s="344">
        <v>4</v>
      </c>
      <c r="G55" s="344">
        <v>4</v>
      </c>
      <c r="H55" s="345">
        <v>3</v>
      </c>
      <c r="I55" s="344">
        <v>3</v>
      </c>
      <c r="J55" s="346">
        <v>4</v>
      </c>
      <c r="K55" s="346">
        <v>4</v>
      </c>
      <c r="L55" s="346">
        <v>5</v>
      </c>
      <c r="M55" s="345">
        <v>5</v>
      </c>
      <c r="N55" s="280"/>
      <c r="O55" s="280"/>
      <c r="P55" s="280"/>
      <c r="Q55" s="280"/>
      <c r="R55" s="280"/>
      <c r="S55" s="280"/>
      <c r="T55" s="280"/>
    </row>
    <row r="56" spans="1:20" ht="12.75">
      <c r="A56" s="1050"/>
      <c r="B56" s="1193" t="s">
        <v>156</v>
      </c>
      <c r="C56" s="1189" t="s">
        <v>155</v>
      </c>
      <c r="D56" s="343">
        <v>34709</v>
      </c>
      <c r="E56" s="344">
        <v>32183</v>
      </c>
      <c r="F56" s="344">
        <v>29520</v>
      </c>
      <c r="G56" s="344">
        <v>20064</v>
      </c>
      <c r="H56" s="345">
        <v>21471</v>
      </c>
      <c r="I56" s="344">
        <v>21340</v>
      </c>
      <c r="J56" s="346">
        <v>22365</v>
      </c>
      <c r="K56" s="346">
        <v>24164</v>
      </c>
      <c r="L56" s="346">
        <v>26142</v>
      </c>
      <c r="M56" s="345">
        <v>28314</v>
      </c>
      <c r="N56" s="280"/>
      <c r="O56" s="280"/>
      <c r="P56" s="280"/>
      <c r="Q56" s="280"/>
      <c r="R56" s="280"/>
      <c r="S56" s="280"/>
      <c r="T56" s="280"/>
    </row>
    <row r="57" spans="1:20" ht="12.75">
      <c r="A57" s="1050"/>
      <c r="B57" s="1193" t="s">
        <v>600</v>
      </c>
      <c r="C57" s="1189" t="s">
        <v>155</v>
      </c>
      <c r="D57" s="343">
        <v>6042</v>
      </c>
      <c r="E57" s="344">
        <v>12688</v>
      </c>
      <c r="F57" s="344">
        <v>16347</v>
      </c>
      <c r="G57" s="344">
        <v>15969</v>
      </c>
      <c r="H57" s="345">
        <v>16768</v>
      </c>
      <c r="I57" s="344">
        <v>15929</v>
      </c>
      <c r="J57" s="346">
        <v>14336</v>
      </c>
      <c r="K57" s="346">
        <v>14336</v>
      </c>
      <c r="L57" s="346">
        <v>14336</v>
      </c>
      <c r="M57" s="345">
        <v>14336</v>
      </c>
      <c r="N57" s="280"/>
      <c r="O57" s="280"/>
      <c r="P57" s="280"/>
      <c r="Q57" s="280"/>
      <c r="R57" s="280"/>
      <c r="S57" s="280"/>
      <c r="T57" s="280"/>
    </row>
    <row r="58" spans="1:20" ht="12.75">
      <c r="A58" s="1050"/>
      <c r="B58" s="1166" t="s">
        <v>445</v>
      </c>
      <c r="C58" s="1189"/>
      <c r="D58" s="1194"/>
      <c r="E58" s="1195"/>
      <c r="F58" s="1195"/>
      <c r="G58" s="1195"/>
      <c r="H58" s="1196"/>
      <c r="I58" s="1197"/>
      <c r="J58" s="1197"/>
      <c r="K58" s="1197"/>
      <c r="L58" s="1197"/>
      <c r="M58" s="1198"/>
      <c r="N58" s="342"/>
      <c r="O58" s="280"/>
      <c r="P58" s="280"/>
      <c r="Q58" s="280"/>
      <c r="R58" s="280"/>
      <c r="S58" s="280"/>
      <c r="T58" s="280"/>
    </row>
    <row r="59" spans="1:20" ht="12.75">
      <c r="A59" s="1050"/>
      <c r="B59" s="1193" t="s">
        <v>154</v>
      </c>
      <c r="C59" s="1189" t="s">
        <v>155</v>
      </c>
      <c r="D59" s="343">
        <v>2</v>
      </c>
      <c r="E59" s="344">
        <v>5</v>
      </c>
      <c r="F59" s="344">
        <v>6</v>
      </c>
      <c r="G59" s="344">
        <v>5</v>
      </c>
      <c r="H59" s="345">
        <v>5</v>
      </c>
      <c r="I59" s="344">
        <v>5</v>
      </c>
      <c r="J59" s="346">
        <v>6</v>
      </c>
      <c r="K59" s="346">
        <v>6</v>
      </c>
      <c r="L59" s="346">
        <v>7</v>
      </c>
      <c r="M59" s="345">
        <v>8</v>
      </c>
      <c r="N59" s="280"/>
      <c r="O59" s="280"/>
      <c r="P59" s="280"/>
      <c r="Q59" s="280"/>
      <c r="R59" s="280"/>
      <c r="S59" s="280"/>
      <c r="T59" s="280"/>
    </row>
    <row r="60" spans="1:20" ht="12.75">
      <c r="A60" s="1050"/>
      <c r="B60" s="1193" t="s">
        <v>156</v>
      </c>
      <c r="C60" s="1189" t="s">
        <v>155</v>
      </c>
      <c r="D60" s="343">
        <v>54</v>
      </c>
      <c r="E60" s="344">
        <v>615</v>
      </c>
      <c r="F60" s="344">
        <v>376</v>
      </c>
      <c r="G60" s="344">
        <v>336</v>
      </c>
      <c r="H60" s="345">
        <v>302</v>
      </c>
      <c r="I60" s="344">
        <v>317</v>
      </c>
      <c r="J60" s="346">
        <v>348</v>
      </c>
      <c r="K60" s="346">
        <v>386</v>
      </c>
      <c r="L60" s="346">
        <v>432</v>
      </c>
      <c r="M60" s="345">
        <v>488</v>
      </c>
      <c r="N60" s="280"/>
      <c r="O60" s="280"/>
      <c r="P60" s="280"/>
      <c r="Q60" s="280"/>
      <c r="R60" s="280"/>
      <c r="S60" s="280"/>
      <c r="T60" s="280"/>
    </row>
    <row r="61" spans="1:20" ht="12.75">
      <c r="A61" s="1050"/>
      <c r="B61" s="1193" t="s">
        <v>600</v>
      </c>
      <c r="C61" s="1189" t="s">
        <v>155</v>
      </c>
      <c r="D61" s="343">
        <v>61</v>
      </c>
      <c r="E61" s="344">
        <v>128</v>
      </c>
      <c r="F61" s="344">
        <v>165</v>
      </c>
      <c r="G61" s="344">
        <v>161</v>
      </c>
      <c r="H61" s="345">
        <v>169</v>
      </c>
      <c r="I61" s="344">
        <v>161</v>
      </c>
      <c r="J61" s="346">
        <v>145</v>
      </c>
      <c r="K61" s="346">
        <v>145</v>
      </c>
      <c r="L61" s="346">
        <v>145</v>
      </c>
      <c r="M61" s="345">
        <v>145</v>
      </c>
      <c r="N61" s="280"/>
      <c r="O61" s="280"/>
      <c r="P61" s="280"/>
      <c r="Q61" s="280"/>
      <c r="R61" s="280"/>
      <c r="S61" s="280"/>
      <c r="T61" s="280"/>
    </row>
    <row r="62" spans="1:20" ht="12.75">
      <c r="A62" s="1050"/>
      <c r="B62" s="1166" t="s">
        <v>599</v>
      </c>
      <c r="C62" s="1189"/>
      <c r="D62" s="1194"/>
      <c r="E62" s="1195"/>
      <c r="F62" s="1195"/>
      <c r="G62" s="1195"/>
      <c r="H62" s="1196"/>
      <c r="I62" s="1197"/>
      <c r="J62" s="1197"/>
      <c r="K62" s="1197"/>
      <c r="L62" s="1197"/>
      <c r="M62" s="1198"/>
      <c r="N62" s="342"/>
      <c r="O62" s="280"/>
      <c r="P62" s="280"/>
      <c r="Q62" s="280"/>
      <c r="R62" s="280"/>
      <c r="S62" s="280"/>
      <c r="T62" s="280"/>
    </row>
    <row r="63" spans="1:20" ht="12.75">
      <c r="A63" s="1050"/>
      <c r="B63" s="1193" t="s">
        <v>154</v>
      </c>
      <c r="C63" s="1189" t="s">
        <v>155</v>
      </c>
      <c r="D63" s="343">
        <v>0</v>
      </c>
      <c r="E63" s="344">
        <v>0</v>
      </c>
      <c r="F63" s="344">
        <v>0</v>
      </c>
      <c r="G63" s="344">
        <v>0</v>
      </c>
      <c r="H63" s="345">
        <v>0</v>
      </c>
      <c r="I63" s="344">
        <v>0</v>
      </c>
      <c r="J63" s="346">
        <v>0</v>
      </c>
      <c r="K63" s="346">
        <v>0</v>
      </c>
      <c r="L63" s="346">
        <v>0</v>
      </c>
      <c r="M63" s="345">
        <v>0</v>
      </c>
      <c r="N63" s="280"/>
      <c r="O63" s="280"/>
      <c r="P63" s="280"/>
      <c r="Q63" s="280"/>
      <c r="R63" s="280"/>
      <c r="S63" s="280"/>
      <c r="T63" s="280"/>
    </row>
    <row r="64" spans="1:20" ht="12.75">
      <c r="A64" s="1050"/>
      <c r="B64" s="1193" t="s">
        <v>156</v>
      </c>
      <c r="C64" s="1189" t="s">
        <v>155</v>
      </c>
      <c r="D64" s="343">
        <v>0</v>
      </c>
      <c r="E64" s="344">
        <v>0</v>
      </c>
      <c r="F64" s="344">
        <v>0</v>
      </c>
      <c r="G64" s="344">
        <v>0</v>
      </c>
      <c r="H64" s="345">
        <v>0</v>
      </c>
      <c r="I64" s="344">
        <v>0</v>
      </c>
      <c r="J64" s="346">
        <v>0</v>
      </c>
      <c r="K64" s="346">
        <v>0</v>
      </c>
      <c r="L64" s="346">
        <v>0</v>
      </c>
      <c r="M64" s="345">
        <v>0</v>
      </c>
      <c r="N64" s="280"/>
      <c r="O64" s="280"/>
      <c r="P64" s="280"/>
      <c r="Q64" s="280"/>
      <c r="R64" s="280"/>
      <c r="S64" s="280"/>
      <c r="T64" s="280"/>
    </row>
    <row r="65" spans="1:20" ht="12.75">
      <c r="A65" s="1050"/>
      <c r="B65" s="1193" t="s">
        <v>600</v>
      </c>
      <c r="C65" s="1189" t="s">
        <v>155</v>
      </c>
      <c r="D65" s="343">
        <v>0</v>
      </c>
      <c r="E65" s="344">
        <v>0</v>
      </c>
      <c r="F65" s="344">
        <v>0</v>
      </c>
      <c r="G65" s="344">
        <v>0</v>
      </c>
      <c r="H65" s="345">
        <v>0</v>
      </c>
      <c r="I65" s="344">
        <v>0</v>
      </c>
      <c r="J65" s="346">
        <v>0</v>
      </c>
      <c r="K65" s="346">
        <v>0</v>
      </c>
      <c r="L65" s="346">
        <v>0</v>
      </c>
      <c r="M65" s="345">
        <v>0</v>
      </c>
      <c r="N65" s="280"/>
      <c r="O65" s="280"/>
      <c r="P65" s="280"/>
      <c r="Q65" s="280"/>
      <c r="R65" s="280"/>
      <c r="S65" s="280"/>
      <c r="T65" s="280"/>
    </row>
    <row r="66" spans="1:20" ht="12.75">
      <c r="A66" s="1050"/>
      <c r="B66" s="1166" t="s">
        <v>460</v>
      </c>
      <c r="C66" s="1189"/>
      <c r="D66" s="1194"/>
      <c r="E66" s="1195"/>
      <c r="F66" s="1195"/>
      <c r="G66" s="1195"/>
      <c r="H66" s="1196"/>
      <c r="I66" s="1197"/>
      <c r="J66" s="1197"/>
      <c r="K66" s="1197"/>
      <c r="L66" s="1197"/>
      <c r="M66" s="1198"/>
      <c r="N66" s="342"/>
      <c r="O66" s="280"/>
      <c r="P66" s="280"/>
      <c r="Q66" s="280"/>
      <c r="R66" s="280"/>
      <c r="S66" s="280"/>
      <c r="T66" s="280"/>
    </row>
    <row r="67" spans="1:20" ht="12.75">
      <c r="A67" s="1050"/>
      <c r="B67" s="1193" t="s">
        <v>154</v>
      </c>
      <c r="C67" s="1189" t="s">
        <v>155</v>
      </c>
      <c r="D67" s="347">
        <v>0</v>
      </c>
      <c r="E67" s="348">
        <v>0</v>
      </c>
      <c r="F67" s="348">
        <v>0</v>
      </c>
      <c r="G67" s="348">
        <v>0</v>
      </c>
      <c r="H67" s="349">
        <v>0</v>
      </c>
      <c r="I67" s="348">
        <v>0</v>
      </c>
      <c r="J67" s="350">
        <v>0</v>
      </c>
      <c r="K67" s="350">
        <v>0</v>
      </c>
      <c r="L67" s="350">
        <v>0</v>
      </c>
      <c r="M67" s="349">
        <v>0</v>
      </c>
      <c r="N67" s="280"/>
      <c r="O67" s="280"/>
      <c r="P67" s="280"/>
      <c r="Q67" s="280"/>
      <c r="R67" s="280"/>
      <c r="S67" s="280"/>
      <c r="T67" s="280"/>
    </row>
    <row r="68" spans="1:20" ht="12.75">
      <c r="A68" s="1050"/>
      <c r="B68" s="1193" t="s">
        <v>156</v>
      </c>
      <c r="C68" s="1189" t="s">
        <v>155</v>
      </c>
      <c r="D68" s="347">
        <v>0</v>
      </c>
      <c r="E68" s="348">
        <v>0</v>
      </c>
      <c r="F68" s="348">
        <v>0</v>
      </c>
      <c r="G68" s="348">
        <v>0</v>
      </c>
      <c r="H68" s="349">
        <v>0</v>
      </c>
      <c r="I68" s="348">
        <v>0</v>
      </c>
      <c r="J68" s="350">
        <v>0</v>
      </c>
      <c r="K68" s="350">
        <v>0</v>
      </c>
      <c r="L68" s="350">
        <v>0</v>
      </c>
      <c r="M68" s="349">
        <v>0</v>
      </c>
      <c r="N68" s="280"/>
      <c r="O68" s="280"/>
      <c r="P68" s="280"/>
      <c r="Q68" s="280"/>
      <c r="R68" s="280"/>
      <c r="S68" s="280"/>
      <c r="T68" s="280"/>
    </row>
    <row r="69" spans="1:20" ht="12.75">
      <c r="A69" s="1050"/>
      <c r="B69" s="1193" t="s">
        <v>600</v>
      </c>
      <c r="C69" s="1189" t="s">
        <v>155</v>
      </c>
      <c r="D69" s="343">
        <v>0</v>
      </c>
      <c r="E69" s="344">
        <v>0</v>
      </c>
      <c r="F69" s="344">
        <v>0</v>
      </c>
      <c r="G69" s="344">
        <v>0</v>
      </c>
      <c r="H69" s="345">
        <v>0</v>
      </c>
      <c r="I69" s="344">
        <v>0</v>
      </c>
      <c r="J69" s="346">
        <v>0</v>
      </c>
      <c r="K69" s="346">
        <v>0</v>
      </c>
      <c r="L69" s="346">
        <v>0</v>
      </c>
      <c r="M69" s="345">
        <v>0</v>
      </c>
      <c r="N69" s="280"/>
      <c r="O69" s="280"/>
      <c r="P69" s="280"/>
      <c r="Q69" s="280"/>
      <c r="R69" s="280"/>
      <c r="S69" s="280"/>
      <c r="T69" s="280"/>
    </row>
    <row r="70" spans="1:20" ht="25.5">
      <c r="A70" s="1050"/>
      <c r="B70" s="1199" t="s">
        <v>461</v>
      </c>
      <c r="C70" s="1189" t="s">
        <v>155</v>
      </c>
      <c r="D70" s="1200">
        <v>34766</v>
      </c>
      <c r="E70" s="1201">
        <v>32803</v>
      </c>
      <c r="F70" s="1201">
        <v>29906</v>
      </c>
      <c r="G70" s="1201">
        <v>20409</v>
      </c>
      <c r="H70" s="1202">
        <v>21781</v>
      </c>
      <c r="I70" s="1203">
        <v>21665</v>
      </c>
      <c r="J70" s="1201">
        <v>22723</v>
      </c>
      <c r="K70" s="1201">
        <v>24560</v>
      </c>
      <c r="L70" s="1201">
        <v>26586</v>
      </c>
      <c r="M70" s="1202">
        <v>28815</v>
      </c>
      <c r="N70" s="351"/>
      <c r="O70" s="280"/>
      <c r="P70" s="280"/>
      <c r="Q70" s="280"/>
      <c r="R70" s="280"/>
      <c r="S70" s="280"/>
      <c r="T70" s="280"/>
    </row>
    <row r="71" spans="1:20" ht="39" thickBot="1">
      <c r="A71" s="1050"/>
      <c r="B71" s="1204" t="s">
        <v>335</v>
      </c>
      <c r="C71" s="1205" t="s">
        <v>155</v>
      </c>
      <c r="D71" s="1206">
        <v>6103</v>
      </c>
      <c r="E71" s="1207">
        <v>12816</v>
      </c>
      <c r="F71" s="1207">
        <v>16512</v>
      </c>
      <c r="G71" s="1207">
        <v>16130</v>
      </c>
      <c r="H71" s="1208">
        <v>16937</v>
      </c>
      <c r="I71" s="1209">
        <v>16090</v>
      </c>
      <c r="J71" s="1207">
        <v>14481</v>
      </c>
      <c r="K71" s="1207">
        <v>14481</v>
      </c>
      <c r="L71" s="1207">
        <v>14481</v>
      </c>
      <c r="M71" s="1208">
        <v>14481</v>
      </c>
      <c r="N71" s="351"/>
      <c r="O71" s="280"/>
      <c r="P71" s="280"/>
      <c r="Q71" s="280"/>
      <c r="R71" s="280"/>
      <c r="S71" s="280"/>
      <c r="T71" s="280"/>
    </row>
    <row r="72" spans="1:20" ht="12.75">
      <c r="A72" s="1050"/>
      <c r="B72" s="1210"/>
      <c r="C72" s="352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</row>
    <row r="73" spans="1:20" ht="12.75">
      <c r="A73" s="1050"/>
      <c r="B73" s="1211"/>
      <c r="C73" s="1212"/>
      <c r="D73" s="1213"/>
      <c r="E73" s="1213"/>
      <c r="F73" s="1213"/>
      <c r="G73" s="1213"/>
      <c r="H73" s="1213"/>
      <c r="I73" s="1213"/>
      <c r="J73" s="1213"/>
      <c r="K73" s="1213"/>
      <c r="L73" s="1213"/>
      <c r="M73" s="1213"/>
      <c r="N73" s="280"/>
      <c r="O73" s="1213"/>
      <c r="P73" s="1213"/>
      <c r="Q73" s="1213"/>
      <c r="R73" s="280"/>
      <c r="S73" s="1213"/>
      <c r="T73" s="1213"/>
    </row>
    <row r="74" spans="1:20" ht="12.75">
      <c r="A74" s="1050"/>
      <c r="B74" s="1049" t="s">
        <v>609</v>
      </c>
      <c r="C74" s="1212"/>
      <c r="D74" s="1213"/>
      <c r="E74" s="1213"/>
      <c r="F74" s="1213"/>
      <c r="G74" s="1213"/>
      <c r="H74" s="1213"/>
      <c r="I74" s="1213"/>
      <c r="J74" s="1213"/>
      <c r="K74" s="1213"/>
      <c r="L74" s="1213"/>
      <c r="M74" s="1213"/>
      <c r="N74" s="280"/>
      <c r="O74" s="1213"/>
      <c r="P74" s="1213"/>
      <c r="Q74" s="1213"/>
      <c r="R74" s="280"/>
      <c r="S74" s="1213"/>
      <c r="T74" s="1213"/>
    </row>
    <row r="75" spans="1:20" ht="13.5" thickBot="1">
      <c r="A75" s="1050"/>
      <c r="B75" s="1049"/>
      <c r="C75" s="1212"/>
      <c r="D75" s="1213"/>
      <c r="E75" s="1213"/>
      <c r="F75" s="1213"/>
      <c r="G75" s="1213"/>
      <c r="H75" s="1213"/>
      <c r="I75" s="1213"/>
      <c r="J75" s="1213"/>
      <c r="K75" s="1213"/>
      <c r="L75" s="1213"/>
      <c r="M75" s="1213"/>
      <c r="N75" s="280"/>
      <c r="O75" s="1213"/>
      <c r="P75" s="1213"/>
      <c r="Q75" s="1213"/>
      <c r="R75" s="280"/>
      <c r="S75" s="1213"/>
      <c r="T75" s="1213"/>
    </row>
    <row r="76" spans="1:20" ht="12.75">
      <c r="A76" s="1050"/>
      <c r="B76" s="1214"/>
      <c r="C76" s="1182"/>
      <c r="D76" s="1067" t="s">
        <v>482</v>
      </c>
      <c r="E76" s="1068"/>
      <c r="F76" s="1068"/>
      <c r="G76" s="1068"/>
      <c r="H76" s="1069"/>
      <c r="I76" s="1068" t="s">
        <v>483</v>
      </c>
      <c r="J76" s="1070"/>
      <c r="K76" s="1070"/>
      <c r="L76" s="1070"/>
      <c r="M76" s="1069"/>
      <c r="N76" s="280"/>
      <c r="O76" s="1027" t="s">
        <v>482</v>
      </c>
      <c r="P76" s="1028"/>
      <c r="Q76" s="1029"/>
      <c r="R76" s="280"/>
      <c r="S76" s="1027" t="s">
        <v>483</v>
      </c>
      <c r="T76" s="1029"/>
    </row>
    <row r="77" spans="1:20" ht="12.75">
      <c r="A77" s="1050"/>
      <c r="B77" s="1215" t="s">
        <v>609</v>
      </c>
      <c r="C77" s="1183" t="s">
        <v>673</v>
      </c>
      <c r="D77" s="1149" t="s">
        <v>674</v>
      </c>
      <c r="E77" s="1150" t="s">
        <v>675</v>
      </c>
      <c r="F77" s="1150" t="s">
        <v>535</v>
      </c>
      <c r="G77" s="1150" t="s">
        <v>676</v>
      </c>
      <c r="H77" s="1151" t="s">
        <v>538</v>
      </c>
      <c r="I77" s="1152" t="s">
        <v>484</v>
      </c>
      <c r="J77" s="1150" t="s">
        <v>785</v>
      </c>
      <c r="K77" s="1150" t="s">
        <v>786</v>
      </c>
      <c r="L77" s="1150" t="s">
        <v>787</v>
      </c>
      <c r="M77" s="1151" t="s">
        <v>788</v>
      </c>
      <c r="N77" s="280"/>
      <c r="O77" s="1030" t="s">
        <v>775</v>
      </c>
      <c r="P77" s="1031" t="s">
        <v>776</v>
      </c>
      <c r="Q77" s="1032" t="s">
        <v>816</v>
      </c>
      <c r="R77" s="280"/>
      <c r="S77" s="1030" t="s">
        <v>776</v>
      </c>
      <c r="T77" s="1032" t="s">
        <v>777</v>
      </c>
    </row>
    <row r="78" spans="1:20" ht="12.75">
      <c r="A78" s="1050"/>
      <c r="B78" s="1071" t="s">
        <v>466</v>
      </c>
      <c r="C78" s="1216"/>
      <c r="D78" s="1186"/>
      <c r="E78" s="1187"/>
      <c r="F78" s="1187"/>
      <c r="G78" s="1187"/>
      <c r="H78" s="1188"/>
      <c r="I78" s="1175"/>
      <c r="J78" s="1175"/>
      <c r="K78" s="1175"/>
      <c r="L78" s="1175"/>
      <c r="M78" s="1176"/>
      <c r="N78" s="280"/>
      <c r="O78" s="1174"/>
      <c r="P78" s="1175"/>
      <c r="Q78" s="1176"/>
      <c r="R78" s="280"/>
      <c r="S78" s="1174"/>
      <c r="T78" s="1176"/>
    </row>
    <row r="79" spans="1:20" ht="12.75">
      <c r="A79" s="1050"/>
      <c r="B79" s="1076" t="s">
        <v>434</v>
      </c>
      <c r="C79" s="1217"/>
      <c r="D79" s="1036"/>
      <c r="E79" s="1168"/>
      <c r="F79" s="1168"/>
      <c r="G79" s="1168"/>
      <c r="H79" s="1037"/>
      <c r="I79" s="1168"/>
      <c r="J79" s="1168"/>
      <c r="K79" s="1168"/>
      <c r="L79" s="1168"/>
      <c r="M79" s="1037"/>
      <c r="N79" s="280"/>
      <c r="O79" s="1033"/>
      <c r="P79" s="1034"/>
      <c r="Q79" s="1035"/>
      <c r="R79" s="280"/>
      <c r="S79" s="1036"/>
      <c r="T79" s="1037"/>
    </row>
    <row r="80" spans="1:20" ht="12.75">
      <c r="A80" s="1050"/>
      <c r="B80" s="1083" t="s">
        <v>467</v>
      </c>
      <c r="C80" s="1189" t="s">
        <v>660</v>
      </c>
      <c r="D80" s="330">
        <v>0</v>
      </c>
      <c r="E80" s="331">
        <v>0</v>
      </c>
      <c r="F80" s="331">
        <v>0</v>
      </c>
      <c r="G80" s="331">
        <v>20.745756192041522</v>
      </c>
      <c r="H80" s="332">
        <v>17.04452575</v>
      </c>
      <c r="I80" s="331">
        <v>16.488626912133892</v>
      </c>
      <c r="J80" s="333">
        <v>17.567500956085322</v>
      </c>
      <c r="K80" s="333">
        <v>19.3103553125</v>
      </c>
      <c r="L80" s="333">
        <v>20.670883639112905</v>
      </c>
      <c r="M80" s="332">
        <v>22.01238940058196</v>
      </c>
      <c r="N80" s="280"/>
      <c r="O80" s="1038">
        <v>0</v>
      </c>
      <c r="P80" s="1039">
        <v>37.79028194204152</v>
      </c>
      <c r="Q80" s="1040">
        <v>37.79028194204152</v>
      </c>
      <c r="R80" s="280"/>
      <c r="S80" s="1038">
        <v>96.04975622041408</v>
      </c>
      <c r="T80" s="1041">
        <v>1.5416522789569125</v>
      </c>
    </row>
    <row r="81" spans="1:20" ht="12.75">
      <c r="A81" s="1050"/>
      <c r="B81" s="1083" t="s">
        <v>468</v>
      </c>
      <c r="C81" s="1189" t="s">
        <v>660</v>
      </c>
      <c r="D81" s="330">
        <v>11.861202288918703</v>
      </c>
      <c r="E81" s="331">
        <v>27.291634283044864</v>
      </c>
      <c r="F81" s="331">
        <v>36.55427389159052</v>
      </c>
      <c r="G81" s="331">
        <v>12.109962944636678</v>
      </c>
      <c r="H81" s="332">
        <v>8.62135895494186</v>
      </c>
      <c r="I81" s="331">
        <v>8.39241489539749</v>
      </c>
      <c r="J81" s="333">
        <v>8.98113812923463</v>
      </c>
      <c r="K81" s="333">
        <v>9.852222098214286</v>
      </c>
      <c r="L81" s="333">
        <v>10.630740157258066</v>
      </c>
      <c r="M81" s="332">
        <v>11.301003486905916</v>
      </c>
      <c r="N81" s="280"/>
      <c r="O81" s="1038">
        <v>75.70711046355409</v>
      </c>
      <c r="P81" s="1039">
        <v>20.73132189957854</v>
      </c>
      <c r="Q81" s="1040">
        <v>96.43843236313262</v>
      </c>
      <c r="R81" s="280"/>
      <c r="S81" s="1038">
        <v>49.15751876701039</v>
      </c>
      <c r="T81" s="1041">
        <v>-0.49027044962830835</v>
      </c>
    </row>
    <row r="82" spans="1:20" ht="12.75">
      <c r="A82" s="1050"/>
      <c r="B82" s="1218" t="s">
        <v>469</v>
      </c>
      <c r="C82" s="1189" t="s">
        <v>660</v>
      </c>
      <c r="D82" s="1038">
        <v>11.861202288918703</v>
      </c>
      <c r="E82" s="1219">
        <v>27.291634283044864</v>
      </c>
      <c r="F82" s="1219">
        <v>36.55427389159052</v>
      </c>
      <c r="G82" s="1219">
        <v>32.8557191366782</v>
      </c>
      <c r="H82" s="1040">
        <v>25.66588470494186</v>
      </c>
      <c r="I82" s="1219">
        <v>24.881041807531382</v>
      </c>
      <c r="J82" s="1039">
        <v>26.54863908531995</v>
      </c>
      <c r="K82" s="1039">
        <v>29.162577410714285</v>
      </c>
      <c r="L82" s="1039">
        <v>31.30162379637097</v>
      </c>
      <c r="M82" s="1040">
        <v>33.31339288748788</v>
      </c>
      <c r="N82" s="280"/>
      <c r="O82" s="1038">
        <v>75.70711046355409</v>
      </c>
      <c r="P82" s="1039">
        <v>58.52160384162006</v>
      </c>
      <c r="Q82" s="1040">
        <v>134.22871430517415</v>
      </c>
      <c r="R82" s="280"/>
      <c r="S82" s="1038">
        <v>145.20727498742446</v>
      </c>
      <c r="T82" s="1041">
        <v>0.08178995633743555</v>
      </c>
    </row>
    <row r="83" spans="1:20" ht="12.75">
      <c r="A83" s="1050"/>
      <c r="B83" s="1076" t="s">
        <v>435</v>
      </c>
      <c r="C83" s="1220"/>
      <c r="D83" s="1221"/>
      <c r="E83" s="1222"/>
      <c r="F83" s="1222"/>
      <c r="G83" s="1222"/>
      <c r="H83" s="1223"/>
      <c r="I83" s="1222"/>
      <c r="J83" s="1222"/>
      <c r="K83" s="1222"/>
      <c r="L83" s="1222"/>
      <c r="M83" s="1223"/>
      <c r="N83" s="280"/>
      <c r="O83" s="1224"/>
      <c r="P83" s="1222"/>
      <c r="Q83" s="1223"/>
      <c r="R83" s="280"/>
      <c r="S83" s="1221"/>
      <c r="T83" s="1223"/>
    </row>
    <row r="84" spans="1:20" ht="12.75">
      <c r="A84" s="1050"/>
      <c r="B84" s="1083" t="s">
        <v>467</v>
      </c>
      <c r="C84" s="1189" t="s">
        <v>660</v>
      </c>
      <c r="D84" s="330">
        <v>0</v>
      </c>
      <c r="E84" s="331">
        <v>0</v>
      </c>
      <c r="F84" s="331">
        <v>0</v>
      </c>
      <c r="G84" s="331">
        <v>1.4889298702422145</v>
      </c>
      <c r="H84" s="332">
        <v>3.3692667180232556</v>
      </c>
      <c r="I84" s="331">
        <v>2.665825907949791</v>
      </c>
      <c r="J84" s="333">
        <v>2.7634271166875783</v>
      </c>
      <c r="K84" s="333">
        <v>2.7586221875</v>
      </c>
      <c r="L84" s="333">
        <v>2.854550597782258</v>
      </c>
      <c r="M84" s="332">
        <v>2.9480878661493697</v>
      </c>
      <c r="N84" s="280"/>
      <c r="O84" s="1038">
        <v>0</v>
      </c>
      <c r="P84" s="1039">
        <v>4.85819658826547</v>
      </c>
      <c r="Q84" s="1040">
        <v>4.85819658826547</v>
      </c>
      <c r="R84" s="280"/>
      <c r="S84" s="1038">
        <v>13.990513676068998</v>
      </c>
      <c r="T84" s="1041">
        <v>1.879775122699194</v>
      </c>
    </row>
    <row r="85" spans="1:20" ht="12.75">
      <c r="A85" s="1050"/>
      <c r="B85" s="1083" t="s">
        <v>468</v>
      </c>
      <c r="C85" s="1189" t="s">
        <v>660</v>
      </c>
      <c r="D85" s="330">
        <v>1.3838069337071819</v>
      </c>
      <c r="E85" s="331">
        <v>3.175753807481584</v>
      </c>
      <c r="F85" s="331">
        <v>7.151923152702493</v>
      </c>
      <c r="G85" s="331">
        <v>0.9926199134948097</v>
      </c>
      <c r="H85" s="332">
        <v>2.4774019985465117</v>
      </c>
      <c r="I85" s="331">
        <v>3.060763079497908</v>
      </c>
      <c r="J85" s="333">
        <v>3.0595085934755333</v>
      </c>
      <c r="K85" s="333">
        <v>3.1527110714285715</v>
      </c>
      <c r="L85" s="333">
        <v>3.248281714717742</v>
      </c>
      <c r="M85" s="332">
        <v>3.242896652764306</v>
      </c>
      <c r="N85" s="280"/>
      <c r="O85" s="1038">
        <v>11.711483893891259</v>
      </c>
      <c r="P85" s="1039">
        <v>3.4700219120413216</v>
      </c>
      <c r="Q85" s="1040">
        <v>15.18150580593258</v>
      </c>
      <c r="R85" s="280"/>
      <c r="S85" s="1038">
        <v>15.76416111188406</v>
      </c>
      <c r="T85" s="1041">
        <v>0.03837928288535067</v>
      </c>
    </row>
    <row r="86" spans="1:20" ht="12.75">
      <c r="A86" s="1050"/>
      <c r="B86" s="1218" t="s">
        <v>470</v>
      </c>
      <c r="C86" s="1189" t="s">
        <v>660</v>
      </c>
      <c r="D86" s="1038">
        <v>1.3838069337071819</v>
      </c>
      <c r="E86" s="1219">
        <v>3.175753807481584</v>
      </c>
      <c r="F86" s="1219">
        <v>7.151923152702493</v>
      </c>
      <c r="G86" s="1219">
        <v>2.481549783737024</v>
      </c>
      <c r="H86" s="1040">
        <v>5.846668716569767</v>
      </c>
      <c r="I86" s="1219">
        <v>5.726588987447698</v>
      </c>
      <c r="J86" s="1039">
        <v>5.822935710163112</v>
      </c>
      <c r="K86" s="1039">
        <v>5.911333258928572</v>
      </c>
      <c r="L86" s="1039">
        <v>6.1028323125</v>
      </c>
      <c r="M86" s="1040">
        <v>6.190984518913676</v>
      </c>
      <c r="N86" s="280"/>
      <c r="O86" s="1038">
        <v>11.711483893891259</v>
      </c>
      <c r="P86" s="1039">
        <v>8.328218500306791</v>
      </c>
      <c r="Q86" s="1040">
        <v>20.03970239419805</v>
      </c>
      <c r="R86" s="280"/>
      <c r="S86" s="1038">
        <v>29.75467478795306</v>
      </c>
      <c r="T86" s="1041">
        <v>0.48478626092609634</v>
      </c>
    </row>
    <row r="87" spans="1:20" ht="12.75">
      <c r="A87" s="1050"/>
      <c r="B87" s="1076" t="s">
        <v>595</v>
      </c>
      <c r="C87" s="1220"/>
      <c r="D87" s="1221"/>
      <c r="E87" s="1222"/>
      <c r="F87" s="1222"/>
      <c r="G87" s="1222"/>
      <c r="H87" s="1223"/>
      <c r="I87" s="1222"/>
      <c r="J87" s="1222"/>
      <c r="K87" s="1222"/>
      <c r="L87" s="1222"/>
      <c r="M87" s="1223"/>
      <c r="N87" s="280"/>
      <c r="O87" s="1221"/>
      <c r="P87" s="1222"/>
      <c r="Q87" s="1223"/>
      <c r="R87" s="280"/>
      <c r="S87" s="1221"/>
      <c r="T87" s="1223"/>
    </row>
    <row r="88" spans="1:20" ht="12.75">
      <c r="A88" s="1050"/>
      <c r="B88" s="1083" t="s">
        <v>467</v>
      </c>
      <c r="C88" s="1189" t="s">
        <v>660</v>
      </c>
      <c r="D88" s="330">
        <v>0</v>
      </c>
      <c r="E88" s="331">
        <v>0</v>
      </c>
      <c r="F88" s="331">
        <v>0</v>
      </c>
      <c r="G88" s="331">
        <v>0</v>
      </c>
      <c r="H88" s="332">
        <v>0</v>
      </c>
      <c r="I88" s="331">
        <v>0</v>
      </c>
      <c r="J88" s="333">
        <v>0</v>
      </c>
      <c r="K88" s="333">
        <v>0</v>
      </c>
      <c r="L88" s="333">
        <v>0</v>
      </c>
      <c r="M88" s="332">
        <v>0</v>
      </c>
      <c r="N88" s="280"/>
      <c r="O88" s="1038">
        <v>0</v>
      </c>
      <c r="P88" s="1039">
        <v>0</v>
      </c>
      <c r="Q88" s="1040">
        <v>0</v>
      </c>
      <c r="R88" s="280"/>
      <c r="S88" s="1038">
        <v>0</v>
      </c>
      <c r="T88" s="1041" t="s">
        <v>708</v>
      </c>
    </row>
    <row r="89" spans="1:20" ht="12.75">
      <c r="A89" s="1050"/>
      <c r="B89" s="1083" t="s">
        <v>468</v>
      </c>
      <c r="C89" s="1189" t="s">
        <v>660</v>
      </c>
      <c r="D89" s="330">
        <v>0</v>
      </c>
      <c r="E89" s="331">
        <v>0</v>
      </c>
      <c r="F89" s="331">
        <v>0</v>
      </c>
      <c r="G89" s="331">
        <v>0</v>
      </c>
      <c r="H89" s="332">
        <v>0</v>
      </c>
      <c r="I89" s="331">
        <v>0</v>
      </c>
      <c r="J89" s="333">
        <v>0</v>
      </c>
      <c r="K89" s="333">
        <v>0</v>
      </c>
      <c r="L89" s="333">
        <v>0</v>
      </c>
      <c r="M89" s="332">
        <v>0</v>
      </c>
      <c r="N89" s="280"/>
      <c r="O89" s="1038">
        <v>0</v>
      </c>
      <c r="P89" s="1039">
        <v>0</v>
      </c>
      <c r="Q89" s="1040">
        <v>0</v>
      </c>
      <c r="R89" s="280"/>
      <c r="S89" s="1038">
        <v>0</v>
      </c>
      <c r="T89" s="1041" t="s">
        <v>708</v>
      </c>
    </row>
    <row r="90" spans="1:20" ht="12.75">
      <c r="A90" s="1050"/>
      <c r="B90" s="1218" t="s">
        <v>471</v>
      </c>
      <c r="C90" s="1189" t="s">
        <v>660</v>
      </c>
      <c r="D90" s="1038">
        <v>0</v>
      </c>
      <c r="E90" s="1219">
        <v>0</v>
      </c>
      <c r="F90" s="1219">
        <v>0</v>
      </c>
      <c r="G90" s="1219">
        <v>0</v>
      </c>
      <c r="H90" s="1040">
        <v>0</v>
      </c>
      <c r="I90" s="1219">
        <v>0</v>
      </c>
      <c r="J90" s="1039">
        <v>0</v>
      </c>
      <c r="K90" s="1039">
        <v>0</v>
      </c>
      <c r="L90" s="1039">
        <v>0</v>
      </c>
      <c r="M90" s="1040">
        <v>0</v>
      </c>
      <c r="N90" s="280"/>
      <c r="O90" s="1038">
        <v>0</v>
      </c>
      <c r="P90" s="1039">
        <v>0</v>
      </c>
      <c r="Q90" s="1040">
        <v>0</v>
      </c>
      <c r="R90" s="280"/>
      <c r="S90" s="1038">
        <v>0</v>
      </c>
      <c r="T90" s="1041" t="s">
        <v>708</v>
      </c>
    </row>
    <row r="91" spans="1:20" ht="12.75">
      <c r="A91" s="1050"/>
      <c r="B91" s="1076" t="s">
        <v>447</v>
      </c>
      <c r="C91" s="1220"/>
      <c r="D91" s="1221"/>
      <c r="E91" s="1222"/>
      <c r="F91" s="1222"/>
      <c r="G91" s="1222"/>
      <c r="H91" s="1223"/>
      <c r="I91" s="1222"/>
      <c r="J91" s="1222"/>
      <c r="K91" s="1222"/>
      <c r="L91" s="1222"/>
      <c r="M91" s="1223"/>
      <c r="N91" s="280"/>
      <c r="O91" s="1221"/>
      <c r="P91" s="1222"/>
      <c r="Q91" s="1223"/>
      <c r="R91" s="280"/>
      <c r="S91" s="1221"/>
      <c r="T91" s="1223"/>
    </row>
    <row r="92" spans="1:20" ht="12.75">
      <c r="A92" s="1050"/>
      <c r="B92" s="1083" t="s">
        <v>467</v>
      </c>
      <c r="C92" s="1189" t="s">
        <v>660</v>
      </c>
      <c r="D92" s="330">
        <v>0</v>
      </c>
      <c r="E92" s="331">
        <v>0</v>
      </c>
      <c r="F92" s="331">
        <v>0</v>
      </c>
      <c r="G92" s="331">
        <v>0</v>
      </c>
      <c r="H92" s="332">
        <v>0</v>
      </c>
      <c r="I92" s="331">
        <v>0</v>
      </c>
      <c r="J92" s="333">
        <v>0</v>
      </c>
      <c r="K92" s="333">
        <v>0</v>
      </c>
      <c r="L92" s="333">
        <v>0</v>
      </c>
      <c r="M92" s="332">
        <v>0</v>
      </c>
      <c r="N92" s="280"/>
      <c r="O92" s="1038">
        <v>0</v>
      </c>
      <c r="P92" s="1039">
        <v>0</v>
      </c>
      <c r="Q92" s="1040">
        <v>0</v>
      </c>
      <c r="R92" s="280"/>
      <c r="S92" s="1038">
        <v>0</v>
      </c>
      <c r="T92" s="1041" t="s">
        <v>708</v>
      </c>
    </row>
    <row r="93" spans="1:20" ht="12.75">
      <c r="A93" s="1050"/>
      <c r="B93" s="1083" t="s">
        <v>468</v>
      </c>
      <c r="C93" s="1189" t="s">
        <v>660</v>
      </c>
      <c r="D93" s="330">
        <v>0</v>
      </c>
      <c r="E93" s="331">
        <v>0</v>
      </c>
      <c r="F93" s="331">
        <v>0</v>
      </c>
      <c r="G93" s="331">
        <v>0</v>
      </c>
      <c r="H93" s="332">
        <v>0</v>
      </c>
      <c r="I93" s="331">
        <v>0</v>
      </c>
      <c r="J93" s="333">
        <v>0</v>
      </c>
      <c r="K93" s="333">
        <v>0</v>
      </c>
      <c r="L93" s="333">
        <v>0</v>
      </c>
      <c r="M93" s="332">
        <v>0</v>
      </c>
      <c r="N93" s="280"/>
      <c r="O93" s="1038">
        <v>0</v>
      </c>
      <c r="P93" s="1039">
        <v>0</v>
      </c>
      <c r="Q93" s="1040">
        <v>0</v>
      </c>
      <c r="R93" s="280"/>
      <c r="S93" s="1038">
        <v>0</v>
      </c>
      <c r="T93" s="1041" t="s">
        <v>708</v>
      </c>
    </row>
    <row r="94" spans="1:20" ht="12.75">
      <c r="A94" s="1050"/>
      <c r="B94" s="1218" t="s">
        <v>207</v>
      </c>
      <c r="C94" s="1189" t="s">
        <v>660</v>
      </c>
      <c r="D94" s="1038">
        <v>0</v>
      </c>
      <c r="E94" s="1219">
        <v>0</v>
      </c>
      <c r="F94" s="1219">
        <v>0</v>
      </c>
      <c r="G94" s="1219">
        <v>0</v>
      </c>
      <c r="H94" s="1040">
        <v>0</v>
      </c>
      <c r="I94" s="1219">
        <v>0</v>
      </c>
      <c r="J94" s="1039">
        <v>0</v>
      </c>
      <c r="K94" s="1039">
        <v>0</v>
      </c>
      <c r="L94" s="1039">
        <v>0</v>
      </c>
      <c r="M94" s="1040">
        <v>0</v>
      </c>
      <c r="N94" s="280"/>
      <c r="O94" s="1038">
        <v>0</v>
      </c>
      <c r="P94" s="1039">
        <v>0</v>
      </c>
      <c r="Q94" s="1040">
        <v>0</v>
      </c>
      <c r="R94" s="280"/>
      <c r="S94" s="1038">
        <v>0</v>
      </c>
      <c r="T94" s="1041" t="s">
        <v>708</v>
      </c>
    </row>
    <row r="95" spans="1:20" ht="12.75">
      <c r="A95" s="1050"/>
      <c r="B95" s="1225"/>
      <c r="C95" s="1189"/>
      <c r="D95" s="1221"/>
      <c r="E95" s="1222"/>
      <c r="F95" s="1222"/>
      <c r="G95" s="1222"/>
      <c r="H95" s="1223"/>
      <c r="I95" s="1222"/>
      <c r="J95" s="1222"/>
      <c r="K95" s="1222"/>
      <c r="L95" s="1222"/>
      <c r="M95" s="1223"/>
      <c r="N95" s="280"/>
      <c r="O95" s="1221"/>
      <c r="P95" s="1222"/>
      <c r="Q95" s="1223"/>
      <c r="R95" s="280"/>
      <c r="S95" s="1221"/>
      <c r="T95" s="1223"/>
    </row>
    <row r="96" spans="1:20" ht="38.25">
      <c r="A96" s="1050"/>
      <c r="B96" s="1225" t="s">
        <v>208</v>
      </c>
      <c r="C96" s="1189" t="s">
        <v>660</v>
      </c>
      <c r="D96" s="334"/>
      <c r="E96" s="335"/>
      <c r="F96" s="335"/>
      <c r="G96" s="331">
        <v>0</v>
      </c>
      <c r="H96" s="332">
        <v>0</v>
      </c>
      <c r="I96" s="331">
        <v>0</v>
      </c>
      <c r="J96" s="333">
        <v>0</v>
      </c>
      <c r="K96" s="333">
        <v>0</v>
      </c>
      <c r="L96" s="333">
        <v>0</v>
      </c>
      <c r="M96" s="332">
        <v>0</v>
      </c>
      <c r="N96" s="280"/>
      <c r="O96" s="1038">
        <v>0</v>
      </c>
      <c r="P96" s="1039">
        <v>0</v>
      </c>
      <c r="Q96" s="1040">
        <v>0</v>
      </c>
      <c r="R96" s="280"/>
      <c r="S96" s="1038">
        <v>0</v>
      </c>
      <c r="T96" s="1041" t="s">
        <v>708</v>
      </c>
    </row>
    <row r="97" spans="1:20" ht="51">
      <c r="A97" s="1050"/>
      <c r="B97" s="1225" t="s">
        <v>336</v>
      </c>
      <c r="C97" s="1189" t="s">
        <v>660</v>
      </c>
      <c r="D97" s="1098">
        <v>13.245009222625885</v>
      </c>
      <c r="E97" s="1099">
        <v>30.46738809052645</v>
      </c>
      <c r="F97" s="1099">
        <v>43.70619704429301</v>
      </c>
      <c r="G97" s="1099">
        <v>35.33726892041523</v>
      </c>
      <c r="H97" s="1100">
        <v>31.512553421511626</v>
      </c>
      <c r="I97" s="1099">
        <v>30.60763079497908</v>
      </c>
      <c r="J97" s="1101">
        <v>32.37157479548306</v>
      </c>
      <c r="K97" s="1101">
        <v>35.073910669642856</v>
      </c>
      <c r="L97" s="1101">
        <v>37.40445610887097</v>
      </c>
      <c r="M97" s="1100">
        <v>39.50437740640155</v>
      </c>
      <c r="N97" s="336"/>
      <c r="O97" s="1098">
        <v>87.41859435744536</v>
      </c>
      <c r="P97" s="1101">
        <v>66.84982234192685</v>
      </c>
      <c r="Q97" s="1100">
        <v>154.2684166993722</v>
      </c>
      <c r="R97" s="336"/>
      <c r="S97" s="1098">
        <v>174.96194977537752</v>
      </c>
      <c r="T97" s="1226">
        <v>0.13413979036507168</v>
      </c>
    </row>
    <row r="98" spans="1:20" ht="12.75">
      <c r="A98" s="1050"/>
      <c r="B98" s="1225"/>
      <c r="C98" s="1189"/>
      <c r="D98" s="1221"/>
      <c r="E98" s="1222"/>
      <c r="F98" s="1222"/>
      <c r="G98" s="1222"/>
      <c r="H98" s="1223"/>
      <c r="I98" s="1222"/>
      <c r="J98" s="1222"/>
      <c r="K98" s="1222"/>
      <c r="L98" s="1222"/>
      <c r="M98" s="1223"/>
      <c r="N98" s="280"/>
      <c r="O98" s="1221"/>
      <c r="P98" s="1222"/>
      <c r="Q98" s="1223"/>
      <c r="R98" s="280"/>
      <c r="S98" s="1221"/>
      <c r="T98" s="1223"/>
    </row>
    <row r="99" spans="1:20" ht="25.5">
      <c r="A99" s="1050"/>
      <c r="B99" s="1225" t="s">
        <v>401</v>
      </c>
      <c r="C99" s="1154" t="s">
        <v>660</v>
      </c>
      <c r="D99" s="334"/>
      <c r="E99" s="335"/>
      <c r="F99" s="335"/>
      <c r="G99" s="331">
        <v>0</v>
      </c>
      <c r="H99" s="332">
        <v>0</v>
      </c>
      <c r="I99" s="331">
        <v>0</v>
      </c>
      <c r="J99" s="333">
        <v>0</v>
      </c>
      <c r="K99" s="333">
        <v>0</v>
      </c>
      <c r="L99" s="333">
        <v>0</v>
      </c>
      <c r="M99" s="332">
        <v>0</v>
      </c>
      <c r="N99" s="280"/>
      <c r="O99" s="1038">
        <v>0</v>
      </c>
      <c r="P99" s="1039">
        <v>0</v>
      </c>
      <c r="Q99" s="1040">
        <v>0</v>
      </c>
      <c r="R99" s="280"/>
      <c r="S99" s="1038">
        <v>0</v>
      </c>
      <c r="T99" s="1041" t="s">
        <v>708</v>
      </c>
    </row>
    <row r="100" spans="1:20" ht="26.25" thickBot="1">
      <c r="A100" s="1050"/>
      <c r="B100" s="1227" t="s">
        <v>402</v>
      </c>
      <c r="C100" s="1205" t="s">
        <v>660</v>
      </c>
      <c r="D100" s="337"/>
      <c r="E100" s="338"/>
      <c r="F100" s="338"/>
      <c r="G100" s="339">
        <v>0</v>
      </c>
      <c r="H100" s="340">
        <v>0</v>
      </c>
      <c r="I100" s="339">
        <v>0</v>
      </c>
      <c r="J100" s="341">
        <v>0</v>
      </c>
      <c r="K100" s="341">
        <v>0</v>
      </c>
      <c r="L100" s="341">
        <v>0</v>
      </c>
      <c r="M100" s="340">
        <v>0</v>
      </c>
      <c r="N100" s="280"/>
      <c r="O100" s="1042">
        <v>0</v>
      </c>
      <c r="P100" s="1043">
        <v>0</v>
      </c>
      <c r="Q100" s="1044">
        <v>0</v>
      </c>
      <c r="R100" s="280"/>
      <c r="S100" s="1042">
        <v>0</v>
      </c>
      <c r="T100" s="1045" t="s">
        <v>708</v>
      </c>
    </row>
    <row r="101" spans="1:20" ht="12.75">
      <c r="A101" s="1050"/>
      <c r="B101" s="1050"/>
      <c r="C101" s="1050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</row>
    <row r="102" spans="1:20" ht="12.75">
      <c r="A102" s="1050"/>
      <c r="B102" s="1050"/>
      <c r="C102" s="1146"/>
      <c r="D102" s="1165"/>
      <c r="E102" s="1165"/>
      <c r="F102" s="1165"/>
      <c r="G102" s="1165"/>
      <c r="H102" s="1165"/>
      <c r="I102" s="1165"/>
      <c r="J102" s="1165"/>
      <c r="K102" s="1165"/>
      <c r="L102" s="1165"/>
      <c r="M102" s="1165"/>
      <c r="N102" s="280"/>
      <c r="O102" s="1165"/>
      <c r="P102" s="1165"/>
      <c r="Q102" s="1165"/>
      <c r="R102" s="280"/>
      <c r="S102" s="1165"/>
      <c r="T102" s="1165"/>
    </row>
    <row r="103" spans="1:20" ht="12.75">
      <c r="A103" s="1050"/>
      <c r="B103" s="1049" t="s">
        <v>789</v>
      </c>
      <c r="C103" s="1212"/>
      <c r="D103" s="1213"/>
      <c r="E103" s="1213"/>
      <c r="F103" s="1213"/>
      <c r="G103" s="1213"/>
      <c r="H103" s="1213"/>
      <c r="I103" s="1213"/>
      <c r="J103" s="1213"/>
      <c r="K103" s="1213"/>
      <c r="L103" s="1213"/>
      <c r="M103" s="1213"/>
      <c r="N103" s="280"/>
      <c r="O103" s="1213"/>
      <c r="P103" s="1213"/>
      <c r="Q103" s="1213"/>
      <c r="R103" s="280"/>
      <c r="S103" s="1213"/>
      <c r="T103" s="1213"/>
    </row>
    <row r="104" spans="1:20" ht="13.5" thickBot="1">
      <c r="A104" s="1050"/>
      <c r="B104" s="1049"/>
      <c r="C104" s="1212"/>
      <c r="D104" s="1213"/>
      <c r="E104" s="1213"/>
      <c r="F104" s="1213"/>
      <c r="G104" s="1213"/>
      <c r="H104" s="1213"/>
      <c r="I104" s="1213"/>
      <c r="J104" s="1213"/>
      <c r="K104" s="1213"/>
      <c r="L104" s="1213"/>
      <c r="M104" s="1213"/>
      <c r="N104" s="280"/>
      <c r="O104" s="1213"/>
      <c r="P104" s="1213"/>
      <c r="Q104" s="1213"/>
      <c r="R104" s="280"/>
      <c r="S104" s="1213"/>
      <c r="T104" s="1213"/>
    </row>
    <row r="105" spans="1:20" ht="12.75">
      <c r="A105" s="1050"/>
      <c r="B105" s="1214"/>
      <c r="C105" s="1182"/>
      <c r="D105" s="1067" t="s">
        <v>482</v>
      </c>
      <c r="E105" s="1068"/>
      <c r="F105" s="1068"/>
      <c r="G105" s="1068"/>
      <c r="H105" s="1069"/>
      <c r="I105" s="1068" t="s">
        <v>483</v>
      </c>
      <c r="J105" s="1070"/>
      <c r="K105" s="1070"/>
      <c r="L105" s="1070"/>
      <c r="M105" s="1069"/>
      <c r="N105" s="280"/>
      <c r="O105" s="1027" t="s">
        <v>482</v>
      </c>
      <c r="P105" s="1028"/>
      <c r="Q105" s="1029"/>
      <c r="R105" s="280"/>
      <c r="S105" s="1027" t="s">
        <v>483</v>
      </c>
      <c r="T105" s="1029"/>
    </row>
    <row r="106" spans="1:20" ht="12.75">
      <c r="A106" s="1050"/>
      <c r="B106" s="1215" t="s">
        <v>789</v>
      </c>
      <c r="C106" s="1183" t="s">
        <v>673</v>
      </c>
      <c r="D106" s="1149" t="s">
        <v>674</v>
      </c>
      <c r="E106" s="1150" t="s">
        <v>675</v>
      </c>
      <c r="F106" s="1150" t="s">
        <v>535</v>
      </c>
      <c r="G106" s="1150" t="s">
        <v>676</v>
      </c>
      <c r="H106" s="1151" t="s">
        <v>538</v>
      </c>
      <c r="I106" s="1152" t="s">
        <v>484</v>
      </c>
      <c r="J106" s="1150" t="s">
        <v>785</v>
      </c>
      <c r="K106" s="1150" t="s">
        <v>786</v>
      </c>
      <c r="L106" s="1150" t="s">
        <v>787</v>
      </c>
      <c r="M106" s="1151" t="s">
        <v>788</v>
      </c>
      <c r="N106" s="280"/>
      <c r="O106" s="1030" t="s">
        <v>775</v>
      </c>
      <c r="P106" s="1031" t="s">
        <v>776</v>
      </c>
      <c r="Q106" s="1032" t="s">
        <v>816</v>
      </c>
      <c r="R106" s="280"/>
      <c r="S106" s="1030" t="s">
        <v>776</v>
      </c>
      <c r="T106" s="1032" t="s">
        <v>777</v>
      </c>
    </row>
    <row r="107" spans="1:20" ht="12.75">
      <c r="A107" s="1050"/>
      <c r="B107" s="1076" t="s">
        <v>790</v>
      </c>
      <c r="C107" s="1217"/>
      <c r="D107" s="1036"/>
      <c r="E107" s="1168"/>
      <c r="F107" s="1168"/>
      <c r="G107" s="1168"/>
      <c r="H107" s="1037"/>
      <c r="I107" s="1168"/>
      <c r="J107" s="1168"/>
      <c r="K107" s="1168"/>
      <c r="L107" s="1168"/>
      <c r="M107" s="1037"/>
      <c r="N107" s="280"/>
      <c r="O107" s="1033"/>
      <c r="P107" s="1034"/>
      <c r="Q107" s="1035"/>
      <c r="R107" s="280"/>
      <c r="S107" s="1036"/>
      <c r="T107" s="1037"/>
    </row>
    <row r="108" spans="1:20" ht="12.75">
      <c r="A108" s="1050"/>
      <c r="B108" s="1083" t="s">
        <v>467</v>
      </c>
      <c r="C108" s="1189" t="s">
        <v>660</v>
      </c>
      <c r="D108" s="330">
        <v>0</v>
      </c>
      <c r="E108" s="331">
        <v>0</v>
      </c>
      <c r="F108" s="331">
        <v>0</v>
      </c>
      <c r="G108" s="331">
        <v>20.9</v>
      </c>
      <c r="H108" s="332">
        <v>17.2</v>
      </c>
      <c r="I108" s="331">
        <v>16.7</v>
      </c>
      <c r="J108" s="333">
        <v>17.8</v>
      </c>
      <c r="K108" s="333">
        <v>19.6</v>
      </c>
      <c r="L108" s="333">
        <v>21</v>
      </c>
      <c r="M108" s="332">
        <v>22.4</v>
      </c>
      <c r="N108" s="280"/>
      <c r="O108" s="1038">
        <v>0</v>
      </c>
      <c r="P108" s="1039">
        <v>38.1</v>
      </c>
      <c r="Q108" s="1040">
        <v>38.1</v>
      </c>
      <c r="R108" s="280"/>
      <c r="S108" s="1038">
        <v>97.5</v>
      </c>
      <c r="T108" s="1041">
        <v>1.5590551181102366</v>
      </c>
    </row>
    <row r="109" spans="1:20" ht="12.75">
      <c r="A109" s="1050"/>
      <c r="B109" s="1083" t="s">
        <v>791</v>
      </c>
      <c r="C109" s="1189" t="s">
        <v>660</v>
      </c>
      <c r="D109" s="330">
        <v>10</v>
      </c>
      <c r="E109" s="331">
        <v>23</v>
      </c>
      <c r="F109" s="331">
        <v>30.6</v>
      </c>
      <c r="G109" s="331">
        <v>7.7</v>
      </c>
      <c r="H109" s="332">
        <v>6.4</v>
      </c>
      <c r="I109" s="331">
        <v>6.2</v>
      </c>
      <c r="J109" s="333">
        <v>6.6</v>
      </c>
      <c r="K109" s="333">
        <v>7.3</v>
      </c>
      <c r="L109" s="333">
        <v>7.8</v>
      </c>
      <c r="M109" s="332">
        <v>8.3</v>
      </c>
      <c r="N109" s="280"/>
      <c r="O109" s="1038">
        <v>63.6</v>
      </c>
      <c r="P109" s="1039">
        <v>14.1</v>
      </c>
      <c r="Q109" s="1040">
        <v>77.7</v>
      </c>
      <c r="R109" s="280"/>
      <c r="S109" s="1038">
        <v>36.2</v>
      </c>
      <c r="T109" s="1041">
        <v>-0.5341055341055341</v>
      </c>
    </row>
    <row r="110" spans="1:20" ht="12.75">
      <c r="A110" s="1050"/>
      <c r="B110" s="1218" t="s">
        <v>469</v>
      </c>
      <c r="C110" s="1189" t="s">
        <v>660</v>
      </c>
      <c r="D110" s="1038">
        <v>10</v>
      </c>
      <c r="E110" s="1219">
        <v>23</v>
      </c>
      <c r="F110" s="1219">
        <v>30.6</v>
      </c>
      <c r="G110" s="1219">
        <v>28.6</v>
      </c>
      <c r="H110" s="1040">
        <v>23.6</v>
      </c>
      <c r="I110" s="1219">
        <v>22.9</v>
      </c>
      <c r="J110" s="1039">
        <v>24.4</v>
      </c>
      <c r="K110" s="1039">
        <v>26.9</v>
      </c>
      <c r="L110" s="1039">
        <v>28.8</v>
      </c>
      <c r="M110" s="1040">
        <v>30.7</v>
      </c>
      <c r="N110" s="280"/>
      <c r="O110" s="1038">
        <v>63.6</v>
      </c>
      <c r="P110" s="1039">
        <v>52.2</v>
      </c>
      <c r="Q110" s="1040">
        <v>115.8</v>
      </c>
      <c r="R110" s="280"/>
      <c r="S110" s="1038">
        <v>133.7</v>
      </c>
      <c r="T110" s="1041">
        <v>0.1545768566493953</v>
      </c>
    </row>
    <row r="111" spans="1:20" ht="12.75">
      <c r="A111" s="1050"/>
      <c r="B111" s="1076" t="s">
        <v>490</v>
      </c>
      <c r="C111" s="1220"/>
      <c r="D111" s="1221"/>
      <c r="E111" s="1222"/>
      <c r="F111" s="1222"/>
      <c r="G111" s="1222"/>
      <c r="H111" s="1223"/>
      <c r="I111" s="1222"/>
      <c r="J111" s="1222"/>
      <c r="K111" s="1222"/>
      <c r="L111" s="1222"/>
      <c r="M111" s="1223"/>
      <c r="N111" s="280"/>
      <c r="O111" s="1224"/>
      <c r="P111" s="1222"/>
      <c r="Q111" s="1223"/>
      <c r="R111" s="280"/>
      <c r="S111" s="1221"/>
      <c r="T111" s="1223"/>
    </row>
    <row r="112" spans="1:20" ht="12.75">
      <c r="A112" s="1050"/>
      <c r="B112" s="1083" t="s">
        <v>467</v>
      </c>
      <c r="C112" s="1189" t="s">
        <v>660</v>
      </c>
      <c r="D112" s="330">
        <v>0</v>
      </c>
      <c r="E112" s="331">
        <v>0</v>
      </c>
      <c r="F112" s="331">
        <v>0</v>
      </c>
      <c r="G112" s="331">
        <v>1.5</v>
      </c>
      <c r="H112" s="332">
        <v>3.4</v>
      </c>
      <c r="I112" s="331">
        <v>2.7</v>
      </c>
      <c r="J112" s="333">
        <v>2.8</v>
      </c>
      <c r="K112" s="333">
        <v>2.8</v>
      </c>
      <c r="L112" s="333">
        <v>2.9</v>
      </c>
      <c r="M112" s="332">
        <v>3</v>
      </c>
      <c r="N112" s="280"/>
      <c r="O112" s="1038">
        <v>0</v>
      </c>
      <c r="P112" s="1039">
        <v>4.9</v>
      </c>
      <c r="Q112" s="1040">
        <v>4.9</v>
      </c>
      <c r="R112" s="280"/>
      <c r="S112" s="1038">
        <v>14.2</v>
      </c>
      <c r="T112" s="1041">
        <v>1.8979591836734695</v>
      </c>
    </row>
    <row r="113" spans="1:20" ht="12.75">
      <c r="A113" s="1050"/>
      <c r="B113" s="1083" t="s">
        <v>791</v>
      </c>
      <c r="C113" s="1189" t="s">
        <v>660</v>
      </c>
      <c r="D113" s="330">
        <v>1.2</v>
      </c>
      <c r="E113" s="331">
        <v>2.7</v>
      </c>
      <c r="F113" s="331">
        <v>5.5</v>
      </c>
      <c r="G113" s="331">
        <v>0.9</v>
      </c>
      <c r="H113" s="332">
        <v>2.1</v>
      </c>
      <c r="I113" s="331">
        <v>1.6</v>
      </c>
      <c r="J113" s="333">
        <v>1.7</v>
      </c>
      <c r="K113" s="333">
        <v>1.7</v>
      </c>
      <c r="L113" s="333">
        <v>1.8</v>
      </c>
      <c r="M113" s="332">
        <v>1.8</v>
      </c>
      <c r="N113" s="280"/>
      <c r="O113" s="1038">
        <v>9.4</v>
      </c>
      <c r="P113" s="1039">
        <v>3</v>
      </c>
      <c r="Q113" s="1040">
        <v>12.4</v>
      </c>
      <c r="R113" s="280"/>
      <c r="S113" s="1038">
        <v>8.6</v>
      </c>
      <c r="T113" s="1041">
        <v>-0.30645161290322587</v>
      </c>
    </row>
    <row r="114" spans="1:20" ht="12.75">
      <c r="A114" s="1050"/>
      <c r="B114" s="1218" t="s">
        <v>470</v>
      </c>
      <c r="C114" s="1189" t="s">
        <v>660</v>
      </c>
      <c r="D114" s="1038">
        <v>1.2</v>
      </c>
      <c r="E114" s="1219">
        <v>2.7</v>
      </c>
      <c r="F114" s="1219">
        <v>5.5</v>
      </c>
      <c r="G114" s="1219">
        <v>2.4</v>
      </c>
      <c r="H114" s="1040">
        <v>5.5</v>
      </c>
      <c r="I114" s="1219">
        <v>4.3</v>
      </c>
      <c r="J114" s="1039">
        <v>4.5</v>
      </c>
      <c r="K114" s="1039">
        <v>4.5</v>
      </c>
      <c r="L114" s="1039">
        <v>4.7</v>
      </c>
      <c r="M114" s="1040">
        <v>4.8</v>
      </c>
      <c r="N114" s="280"/>
      <c r="O114" s="1038">
        <v>9.4</v>
      </c>
      <c r="P114" s="1039">
        <v>7.9</v>
      </c>
      <c r="Q114" s="1040">
        <v>17.3</v>
      </c>
      <c r="R114" s="280"/>
      <c r="S114" s="1038">
        <v>22.8</v>
      </c>
      <c r="T114" s="1041">
        <v>0.3179190751445087</v>
      </c>
    </row>
    <row r="115" spans="1:20" ht="12.75">
      <c r="A115" s="1050"/>
      <c r="B115" s="1076" t="s">
        <v>491</v>
      </c>
      <c r="C115" s="1220"/>
      <c r="D115" s="1221"/>
      <c r="E115" s="1222"/>
      <c r="F115" s="1222"/>
      <c r="G115" s="1222"/>
      <c r="H115" s="1223"/>
      <c r="I115" s="1222"/>
      <c r="J115" s="1222"/>
      <c r="K115" s="1222"/>
      <c r="L115" s="1222"/>
      <c r="M115" s="1223"/>
      <c r="N115" s="280"/>
      <c r="O115" s="1221"/>
      <c r="P115" s="1222"/>
      <c r="Q115" s="1223"/>
      <c r="R115" s="280"/>
      <c r="S115" s="1221"/>
      <c r="T115" s="1223"/>
    </row>
    <row r="116" spans="1:20" ht="12.75">
      <c r="A116" s="1050"/>
      <c r="B116" s="1083" t="s">
        <v>467</v>
      </c>
      <c r="C116" s="1189" t="s">
        <v>660</v>
      </c>
      <c r="D116" s="330">
        <v>0</v>
      </c>
      <c r="E116" s="331">
        <v>0</v>
      </c>
      <c r="F116" s="331">
        <v>0</v>
      </c>
      <c r="G116" s="331">
        <v>0</v>
      </c>
      <c r="H116" s="332">
        <v>0</v>
      </c>
      <c r="I116" s="331">
        <v>0</v>
      </c>
      <c r="J116" s="333">
        <v>0</v>
      </c>
      <c r="K116" s="333">
        <v>0</v>
      </c>
      <c r="L116" s="333">
        <v>0</v>
      </c>
      <c r="M116" s="332">
        <v>0</v>
      </c>
      <c r="N116" s="280"/>
      <c r="O116" s="1038">
        <v>0</v>
      </c>
      <c r="P116" s="1039">
        <v>0</v>
      </c>
      <c r="Q116" s="1040">
        <v>0</v>
      </c>
      <c r="R116" s="280"/>
      <c r="S116" s="1038">
        <v>0</v>
      </c>
      <c r="T116" s="1041" t="s">
        <v>708</v>
      </c>
    </row>
    <row r="117" spans="1:20" ht="12.75">
      <c r="A117" s="1050"/>
      <c r="B117" s="1083" t="s">
        <v>791</v>
      </c>
      <c r="C117" s="1189" t="s">
        <v>660</v>
      </c>
      <c r="D117" s="330">
        <v>0</v>
      </c>
      <c r="E117" s="331">
        <v>0</v>
      </c>
      <c r="F117" s="331">
        <v>0</v>
      </c>
      <c r="G117" s="331">
        <v>0</v>
      </c>
      <c r="H117" s="332">
        <v>0</v>
      </c>
      <c r="I117" s="331">
        <v>0</v>
      </c>
      <c r="J117" s="333">
        <v>0</v>
      </c>
      <c r="K117" s="333">
        <v>0</v>
      </c>
      <c r="L117" s="333">
        <v>0</v>
      </c>
      <c r="M117" s="332">
        <v>0</v>
      </c>
      <c r="N117" s="280"/>
      <c r="O117" s="1038">
        <v>0</v>
      </c>
      <c r="P117" s="1039">
        <v>0</v>
      </c>
      <c r="Q117" s="1040">
        <v>0</v>
      </c>
      <c r="R117" s="280"/>
      <c r="S117" s="1038">
        <v>0</v>
      </c>
      <c r="T117" s="1041" t="s">
        <v>708</v>
      </c>
    </row>
    <row r="118" spans="1:20" ht="12.75">
      <c r="A118" s="1050"/>
      <c r="B118" s="1218" t="s">
        <v>471</v>
      </c>
      <c r="C118" s="1189" t="s">
        <v>660</v>
      </c>
      <c r="D118" s="1038">
        <v>0</v>
      </c>
      <c r="E118" s="1219">
        <v>0</v>
      </c>
      <c r="F118" s="1219">
        <v>0</v>
      </c>
      <c r="G118" s="1219">
        <v>0</v>
      </c>
      <c r="H118" s="1040">
        <v>0</v>
      </c>
      <c r="I118" s="1219">
        <v>0</v>
      </c>
      <c r="J118" s="1039">
        <v>0</v>
      </c>
      <c r="K118" s="1039">
        <v>0</v>
      </c>
      <c r="L118" s="1039">
        <v>0</v>
      </c>
      <c r="M118" s="1040">
        <v>0</v>
      </c>
      <c r="N118" s="280"/>
      <c r="O118" s="1038">
        <v>0</v>
      </c>
      <c r="P118" s="1039">
        <v>0</v>
      </c>
      <c r="Q118" s="1040">
        <v>0</v>
      </c>
      <c r="R118" s="280"/>
      <c r="S118" s="1038">
        <v>0</v>
      </c>
      <c r="T118" s="1041" t="s">
        <v>708</v>
      </c>
    </row>
    <row r="119" spans="1:20" ht="12.75">
      <c r="A119" s="1050"/>
      <c r="B119" s="1076" t="s">
        <v>224</v>
      </c>
      <c r="C119" s="1220"/>
      <c r="D119" s="1221"/>
      <c r="E119" s="1222"/>
      <c r="F119" s="1222"/>
      <c r="G119" s="1222"/>
      <c r="H119" s="1223"/>
      <c r="I119" s="1222"/>
      <c r="J119" s="1222"/>
      <c r="K119" s="1222"/>
      <c r="L119" s="1222"/>
      <c r="M119" s="1223"/>
      <c r="N119" s="280"/>
      <c r="O119" s="1221"/>
      <c r="P119" s="1222"/>
      <c r="Q119" s="1223"/>
      <c r="R119" s="280"/>
      <c r="S119" s="1221"/>
      <c r="T119" s="1223"/>
    </row>
    <row r="120" spans="1:20" ht="12.75">
      <c r="A120" s="1050"/>
      <c r="B120" s="1083" t="s">
        <v>467</v>
      </c>
      <c r="C120" s="1189" t="s">
        <v>660</v>
      </c>
      <c r="D120" s="330">
        <v>0</v>
      </c>
      <c r="E120" s="331">
        <v>0</v>
      </c>
      <c r="F120" s="331">
        <v>0</v>
      </c>
      <c r="G120" s="331">
        <v>0</v>
      </c>
      <c r="H120" s="332">
        <v>0</v>
      </c>
      <c r="I120" s="331">
        <v>0</v>
      </c>
      <c r="J120" s="333">
        <v>0</v>
      </c>
      <c r="K120" s="333">
        <v>0</v>
      </c>
      <c r="L120" s="333">
        <v>0</v>
      </c>
      <c r="M120" s="332">
        <v>0</v>
      </c>
      <c r="N120" s="280"/>
      <c r="O120" s="1038">
        <v>0</v>
      </c>
      <c r="P120" s="1039">
        <v>0</v>
      </c>
      <c r="Q120" s="1040">
        <v>0</v>
      </c>
      <c r="R120" s="280"/>
      <c r="S120" s="1038">
        <v>0</v>
      </c>
      <c r="T120" s="1041" t="s">
        <v>708</v>
      </c>
    </row>
    <row r="121" spans="1:20" ht="12.75">
      <c r="A121" s="1050"/>
      <c r="B121" s="1083" t="s">
        <v>791</v>
      </c>
      <c r="C121" s="1189" t="s">
        <v>660</v>
      </c>
      <c r="D121" s="330">
        <v>0</v>
      </c>
      <c r="E121" s="331">
        <v>0</v>
      </c>
      <c r="F121" s="331">
        <v>0</v>
      </c>
      <c r="G121" s="331">
        <v>0</v>
      </c>
      <c r="H121" s="332">
        <v>0</v>
      </c>
      <c r="I121" s="331">
        <v>0</v>
      </c>
      <c r="J121" s="333">
        <v>0</v>
      </c>
      <c r="K121" s="333">
        <v>0</v>
      </c>
      <c r="L121" s="333">
        <v>0</v>
      </c>
      <c r="M121" s="332">
        <v>0</v>
      </c>
      <c r="N121" s="280"/>
      <c r="O121" s="1038">
        <v>0</v>
      </c>
      <c r="P121" s="1039">
        <v>0</v>
      </c>
      <c r="Q121" s="1040">
        <v>0</v>
      </c>
      <c r="R121" s="280"/>
      <c r="S121" s="1038">
        <v>0</v>
      </c>
      <c r="T121" s="1041" t="s">
        <v>708</v>
      </c>
    </row>
    <row r="122" spans="1:20" ht="12.75">
      <c r="A122" s="1050"/>
      <c r="B122" s="1218" t="s">
        <v>207</v>
      </c>
      <c r="C122" s="1189" t="s">
        <v>660</v>
      </c>
      <c r="D122" s="1038">
        <v>0</v>
      </c>
      <c r="E122" s="1219">
        <v>0</v>
      </c>
      <c r="F122" s="1219">
        <v>0</v>
      </c>
      <c r="G122" s="1219">
        <v>0</v>
      </c>
      <c r="H122" s="1040">
        <v>0</v>
      </c>
      <c r="I122" s="1219">
        <v>0</v>
      </c>
      <c r="J122" s="1039">
        <v>0</v>
      </c>
      <c r="K122" s="1039">
        <v>0</v>
      </c>
      <c r="L122" s="1039">
        <v>0</v>
      </c>
      <c r="M122" s="1040">
        <v>0</v>
      </c>
      <c r="N122" s="280"/>
      <c r="O122" s="1038">
        <v>0</v>
      </c>
      <c r="P122" s="1039">
        <v>0</v>
      </c>
      <c r="Q122" s="1040">
        <v>0</v>
      </c>
      <c r="R122" s="280"/>
      <c r="S122" s="1038">
        <v>0</v>
      </c>
      <c r="T122" s="1041" t="s">
        <v>708</v>
      </c>
    </row>
    <row r="123" spans="1:20" ht="12.75">
      <c r="A123" s="1050"/>
      <c r="B123" s="1225"/>
      <c r="C123" s="1189"/>
      <c r="D123" s="1221"/>
      <c r="E123" s="1222"/>
      <c r="F123" s="1222"/>
      <c r="G123" s="1222"/>
      <c r="H123" s="1223"/>
      <c r="I123" s="1222"/>
      <c r="J123" s="1222"/>
      <c r="K123" s="1222"/>
      <c r="L123" s="1222"/>
      <c r="M123" s="1223"/>
      <c r="N123" s="280"/>
      <c r="O123" s="1221"/>
      <c r="P123" s="1222"/>
      <c r="Q123" s="1223"/>
      <c r="R123" s="280"/>
      <c r="S123" s="1221"/>
      <c r="T123" s="1223"/>
    </row>
    <row r="124" spans="1:20" ht="12.75">
      <c r="A124" s="1050"/>
      <c r="B124" s="1076" t="s">
        <v>212</v>
      </c>
      <c r="C124" s="1154" t="s">
        <v>660</v>
      </c>
      <c r="D124" s="1099">
        <v>11.2</v>
      </c>
      <c r="E124" s="1099">
        <v>25.7</v>
      </c>
      <c r="F124" s="1099">
        <v>36.1</v>
      </c>
      <c r="G124" s="1099">
        <v>31</v>
      </c>
      <c r="H124" s="1100">
        <v>29.1</v>
      </c>
      <c r="I124" s="1099">
        <v>27.2</v>
      </c>
      <c r="J124" s="1101">
        <v>28.9</v>
      </c>
      <c r="K124" s="1101">
        <v>31.4</v>
      </c>
      <c r="L124" s="1101">
        <v>33.5</v>
      </c>
      <c r="M124" s="1100">
        <v>35.5</v>
      </c>
      <c r="N124" s="336"/>
      <c r="O124" s="1098">
        <v>73</v>
      </c>
      <c r="P124" s="1101">
        <v>60.1</v>
      </c>
      <c r="Q124" s="1100">
        <v>133.1</v>
      </c>
      <c r="R124" s="336"/>
      <c r="S124" s="1098">
        <v>156.5</v>
      </c>
      <c r="T124" s="1226">
        <v>0.17580766341096923</v>
      </c>
    </row>
    <row r="125" spans="1:20" ht="12.75">
      <c r="A125" s="1050"/>
      <c r="B125" s="1076" t="s">
        <v>213</v>
      </c>
      <c r="C125" s="1154" t="s">
        <v>660</v>
      </c>
      <c r="D125" s="330">
        <v>-5.6</v>
      </c>
      <c r="E125" s="331">
        <v>16.4</v>
      </c>
      <c r="F125" s="331">
        <v>18.1</v>
      </c>
      <c r="G125" s="331">
        <v>7.3</v>
      </c>
      <c r="H125" s="332">
        <v>10.2</v>
      </c>
      <c r="I125" s="331">
        <v>9.8</v>
      </c>
      <c r="J125" s="333">
        <v>10.5</v>
      </c>
      <c r="K125" s="333">
        <v>11.4</v>
      </c>
      <c r="L125" s="333">
        <v>12.1</v>
      </c>
      <c r="M125" s="332">
        <v>12.9</v>
      </c>
      <c r="N125" s="336"/>
      <c r="O125" s="1098">
        <v>28.9</v>
      </c>
      <c r="P125" s="1101">
        <v>17.5</v>
      </c>
      <c r="Q125" s="1100">
        <v>46.4</v>
      </c>
      <c r="R125" s="336"/>
      <c r="S125" s="1098">
        <v>56.7</v>
      </c>
      <c r="T125" s="1226">
        <v>0.22198275862068995</v>
      </c>
    </row>
    <row r="126" spans="1:20" ht="12.75">
      <c r="A126" s="1050"/>
      <c r="B126" s="1076" t="s">
        <v>214</v>
      </c>
      <c r="C126" s="1154" t="s">
        <v>660</v>
      </c>
      <c r="D126" s="1098">
        <v>5.6</v>
      </c>
      <c r="E126" s="1099">
        <v>42.1</v>
      </c>
      <c r="F126" s="1099">
        <v>54.2</v>
      </c>
      <c r="G126" s="1099">
        <v>38.3</v>
      </c>
      <c r="H126" s="1100">
        <v>39.3</v>
      </c>
      <c r="I126" s="1099">
        <v>37</v>
      </c>
      <c r="J126" s="1101">
        <v>39.4</v>
      </c>
      <c r="K126" s="1101">
        <v>42.8</v>
      </c>
      <c r="L126" s="1101">
        <v>45.6</v>
      </c>
      <c r="M126" s="1100">
        <v>48.4</v>
      </c>
      <c r="N126" s="336"/>
      <c r="O126" s="1098">
        <v>101.9</v>
      </c>
      <c r="P126" s="1101">
        <v>77.6</v>
      </c>
      <c r="Q126" s="1100">
        <v>179.5</v>
      </c>
      <c r="R126" s="336"/>
      <c r="S126" s="1098">
        <v>213.2</v>
      </c>
      <c r="T126" s="1226">
        <v>0.18774373259052934</v>
      </c>
    </row>
    <row r="127" spans="1:20" ht="12.75">
      <c r="A127" s="1050"/>
      <c r="B127" s="1076"/>
      <c r="C127" s="1173"/>
      <c r="D127" s="1033"/>
      <c r="E127" s="1034"/>
      <c r="F127" s="1034"/>
      <c r="G127" s="1034"/>
      <c r="H127" s="1035"/>
      <c r="I127" s="1034"/>
      <c r="J127" s="1034"/>
      <c r="K127" s="1034"/>
      <c r="L127" s="1034"/>
      <c r="M127" s="1035"/>
      <c r="N127" s="280"/>
      <c r="O127" s="1221"/>
      <c r="P127" s="1222"/>
      <c r="Q127" s="1223"/>
      <c r="R127" s="280"/>
      <c r="S127" s="1221"/>
      <c r="T127" s="1223"/>
    </row>
    <row r="128" spans="1:20" ht="13.5" thickBot="1">
      <c r="A128" s="1050"/>
      <c r="B128" s="1084" t="s">
        <v>261</v>
      </c>
      <c r="C128" s="1164" t="s">
        <v>660</v>
      </c>
      <c r="D128" s="1086">
        <v>7.645009222625886</v>
      </c>
      <c r="E128" s="1086">
        <v>-11.632611909473546</v>
      </c>
      <c r="F128" s="1086">
        <v>-10.49380295570699</v>
      </c>
      <c r="G128" s="1086">
        <v>-2.9627310795847706</v>
      </c>
      <c r="H128" s="1087">
        <v>-7.787446578488371</v>
      </c>
      <c r="I128" s="1086">
        <v>-6.39236920502092</v>
      </c>
      <c r="J128" s="1088">
        <v>-7.028425204516935</v>
      </c>
      <c r="K128" s="1088">
        <v>-7.726089330357148</v>
      </c>
      <c r="L128" s="1088">
        <v>-8.195543891129034</v>
      </c>
      <c r="M128" s="1087">
        <v>-8.895622593598446</v>
      </c>
      <c r="N128" s="336"/>
      <c r="O128" s="1085">
        <v>-14.48140564255465</v>
      </c>
      <c r="P128" s="1088">
        <v>-10.750177658073142</v>
      </c>
      <c r="Q128" s="1087">
        <v>-25.23158330062779</v>
      </c>
      <c r="R128" s="336"/>
      <c r="S128" s="1085">
        <v>-38.238050224622484</v>
      </c>
      <c r="T128" s="1089">
        <v>0.5154835813918613</v>
      </c>
    </row>
    <row r="129" spans="1:20" ht="12.75">
      <c r="A129" s="1050"/>
      <c r="B129" s="1050"/>
      <c r="C129" s="1146"/>
      <c r="D129" s="1165"/>
      <c r="E129" s="1165"/>
      <c r="F129" s="1165"/>
      <c r="G129" s="1165"/>
      <c r="H129" s="1165"/>
      <c r="I129" s="1165"/>
      <c r="J129" s="1165"/>
      <c r="K129" s="1165"/>
      <c r="L129" s="1165"/>
      <c r="M129" s="1165"/>
      <c r="N129" s="1165"/>
      <c r="O129" s="1165"/>
      <c r="P129" s="1165"/>
      <c r="Q129" s="1165"/>
      <c r="R129" s="1165"/>
      <c r="S129" s="1165"/>
      <c r="T129" s="1165"/>
    </row>
    <row r="130" spans="1:20" ht="13.5" thickBot="1">
      <c r="A130" s="1050"/>
      <c r="B130" s="1050"/>
      <c r="C130" s="1146"/>
      <c r="D130" s="1165"/>
      <c r="E130" s="1165"/>
      <c r="F130" s="1165"/>
      <c r="G130" s="1165"/>
      <c r="H130" s="1165"/>
      <c r="I130" s="1165"/>
      <c r="J130" s="1165"/>
      <c r="K130" s="1165"/>
      <c r="L130" s="1165"/>
      <c r="M130" s="1165"/>
      <c r="N130" s="1165"/>
      <c r="O130" s="1165"/>
      <c r="P130" s="1165"/>
      <c r="Q130" s="1165"/>
      <c r="R130" s="1165"/>
      <c r="S130" s="1165"/>
      <c r="T130" s="1165"/>
    </row>
    <row r="131" spans="1:20" ht="12.75">
      <c r="A131" s="1050"/>
      <c r="B131" s="1214"/>
      <c r="C131" s="1147"/>
      <c r="D131" s="1067" t="s">
        <v>482</v>
      </c>
      <c r="E131" s="1068"/>
      <c r="F131" s="1068"/>
      <c r="G131" s="1068"/>
      <c r="H131" s="1069"/>
      <c r="I131" s="1068" t="s">
        <v>483</v>
      </c>
      <c r="J131" s="1070"/>
      <c r="K131" s="1070"/>
      <c r="L131" s="1070"/>
      <c r="M131" s="1069"/>
      <c r="N131" s="280"/>
      <c r="O131" s="1027" t="s">
        <v>482</v>
      </c>
      <c r="P131" s="1028"/>
      <c r="Q131" s="1029"/>
      <c r="R131" s="280"/>
      <c r="S131" s="1027" t="s">
        <v>483</v>
      </c>
      <c r="T131" s="1029"/>
    </row>
    <row r="132" spans="1:20" ht="12.75">
      <c r="A132" s="1050"/>
      <c r="B132" s="1179"/>
      <c r="C132" s="1148" t="s">
        <v>673</v>
      </c>
      <c r="D132" s="1149" t="s">
        <v>674</v>
      </c>
      <c r="E132" s="1150" t="s">
        <v>675</v>
      </c>
      <c r="F132" s="1150" t="s">
        <v>535</v>
      </c>
      <c r="G132" s="1150" t="s">
        <v>676</v>
      </c>
      <c r="H132" s="1151" t="s">
        <v>538</v>
      </c>
      <c r="I132" s="1152" t="s">
        <v>484</v>
      </c>
      <c r="J132" s="1150" t="s">
        <v>785</v>
      </c>
      <c r="K132" s="1150" t="s">
        <v>786</v>
      </c>
      <c r="L132" s="1150" t="s">
        <v>787</v>
      </c>
      <c r="M132" s="1151" t="s">
        <v>788</v>
      </c>
      <c r="N132" s="280"/>
      <c r="O132" s="1030" t="s">
        <v>775</v>
      </c>
      <c r="P132" s="1031" t="s">
        <v>776</v>
      </c>
      <c r="Q132" s="1032" t="s">
        <v>816</v>
      </c>
      <c r="R132" s="280"/>
      <c r="S132" s="1030" t="s">
        <v>776</v>
      </c>
      <c r="T132" s="1032" t="s">
        <v>777</v>
      </c>
    </row>
    <row r="133" spans="1:20" ht="25.5">
      <c r="A133" s="1050"/>
      <c r="B133" s="1228" t="s">
        <v>389</v>
      </c>
      <c r="C133" s="1229" t="s">
        <v>660</v>
      </c>
      <c r="D133" s="1155">
        <v>1.8612022889187028</v>
      </c>
      <c r="E133" s="1156">
        <v>4.291634283044864</v>
      </c>
      <c r="F133" s="1156">
        <v>5.954273891590518</v>
      </c>
      <c r="G133" s="1156">
        <v>4.4099629446366775</v>
      </c>
      <c r="H133" s="1157">
        <v>2.2213589549418593</v>
      </c>
      <c r="I133" s="1156">
        <v>2.19241489539749</v>
      </c>
      <c r="J133" s="1158">
        <v>2.38113812923463</v>
      </c>
      <c r="K133" s="1158">
        <v>2.552222098214286</v>
      </c>
      <c r="L133" s="1158">
        <v>2.8307401572580657</v>
      </c>
      <c r="M133" s="1157">
        <v>3.0010034869059155</v>
      </c>
      <c r="N133" s="1165"/>
      <c r="O133" s="1230">
        <v>12.107110463554084</v>
      </c>
      <c r="P133" s="1231">
        <v>6.631321899578537</v>
      </c>
      <c r="Q133" s="1232">
        <v>18.73843236313262</v>
      </c>
      <c r="R133" s="280"/>
      <c r="S133" s="1230">
        <v>12.957518767010388</v>
      </c>
      <c r="T133" s="1233">
        <v>-0.3085057215082746</v>
      </c>
    </row>
    <row r="134" spans="1:20" ht="25.5">
      <c r="A134" s="1050"/>
      <c r="B134" s="1228" t="s">
        <v>129</v>
      </c>
      <c r="C134" s="1229" t="s">
        <v>660</v>
      </c>
      <c r="D134" s="1159">
        <v>0.18380693370718193</v>
      </c>
      <c r="E134" s="1160">
        <v>0.4757538074815839</v>
      </c>
      <c r="F134" s="1160">
        <v>1.6519231527024933</v>
      </c>
      <c r="G134" s="1160">
        <v>0.09261991349480969</v>
      </c>
      <c r="H134" s="1161">
        <v>0.3774019985465116</v>
      </c>
      <c r="I134" s="1160">
        <v>1.4607630794979078</v>
      </c>
      <c r="J134" s="1162">
        <v>1.3595085934755333</v>
      </c>
      <c r="K134" s="1162">
        <v>1.4527110714285716</v>
      </c>
      <c r="L134" s="1162">
        <v>1.4482817147177418</v>
      </c>
      <c r="M134" s="1161">
        <v>1.4428966527643061</v>
      </c>
      <c r="N134" s="1165"/>
      <c r="O134" s="1038">
        <v>2.311483893891259</v>
      </c>
      <c r="P134" s="1039">
        <v>0.47002191204132127</v>
      </c>
      <c r="Q134" s="1040">
        <v>2.7815058059325803</v>
      </c>
      <c r="R134" s="280"/>
      <c r="S134" s="1038">
        <v>7.16416111188406</v>
      </c>
      <c r="T134" s="1041">
        <v>1.575641257553323</v>
      </c>
    </row>
    <row r="135" spans="1:20" ht="25.5">
      <c r="A135" s="1050"/>
      <c r="B135" s="1228" t="s">
        <v>263</v>
      </c>
      <c r="C135" s="1229" t="s">
        <v>660</v>
      </c>
      <c r="D135" s="1159">
        <v>0</v>
      </c>
      <c r="E135" s="1160">
        <v>0</v>
      </c>
      <c r="F135" s="1160">
        <v>0</v>
      </c>
      <c r="G135" s="1160">
        <v>0</v>
      </c>
      <c r="H135" s="1161">
        <v>0</v>
      </c>
      <c r="I135" s="1160">
        <v>0</v>
      </c>
      <c r="J135" s="1162">
        <v>0</v>
      </c>
      <c r="K135" s="1162">
        <v>0</v>
      </c>
      <c r="L135" s="1162">
        <v>0</v>
      </c>
      <c r="M135" s="1161">
        <v>0</v>
      </c>
      <c r="N135" s="1165"/>
      <c r="O135" s="1038">
        <v>0</v>
      </c>
      <c r="P135" s="1039">
        <v>0</v>
      </c>
      <c r="Q135" s="1040">
        <v>0</v>
      </c>
      <c r="R135" s="280"/>
      <c r="S135" s="1038">
        <v>0</v>
      </c>
      <c r="T135" s="1041" t="s">
        <v>708</v>
      </c>
    </row>
    <row r="136" spans="1:20" ht="26.25" thickBot="1">
      <c r="A136" s="1050"/>
      <c r="B136" s="1234" t="s">
        <v>264</v>
      </c>
      <c r="C136" s="1235" t="s">
        <v>660</v>
      </c>
      <c r="D136" s="1236">
        <v>0</v>
      </c>
      <c r="E136" s="1237">
        <v>0</v>
      </c>
      <c r="F136" s="1237">
        <v>0</v>
      </c>
      <c r="G136" s="1237">
        <v>0</v>
      </c>
      <c r="H136" s="1238">
        <v>0</v>
      </c>
      <c r="I136" s="1237">
        <v>0</v>
      </c>
      <c r="J136" s="1239">
        <v>0</v>
      </c>
      <c r="K136" s="1239">
        <v>0</v>
      </c>
      <c r="L136" s="1239">
        <v>0</v>
      </c>
      <c r="M136" s="1238">
        <v>0</v>
      </c>
      <c r="N136" s="1165"/>
      <c r="O136" s="1042">
        <v>0</v>
      </c>
      <c r="P136" s="1043">
        <v>0</v>
      </c>
      <c r="Q136" s="1044">
        <v>0</v>
      </c>
      <c r="R136" s="280"/>
      <c r="S136" s="1042">
        <v>0</v>
      </c>
      <c r="T136" s="1045" t="s">
        <v>708</v>
      </c>
    </row>
    <row r="137" spans="1:20" ht="12.75">
      <c r="A137" s="1240"/>
      <c r="B137" s="1240"/>
      <c r="C137" s="1241"/>
      <c r="D137" s="1080"/>
      <c r="E137" s="1080"/>
      <c r="F137" s="1080"/>
      <c r="G137" s="1080"/>
      <c r="H137" s="1080"/>
      <c r="I137" s="1080"/>
      <c r="J137" s="1080"/>
      <c r="K137" s="1080"/>
      <c r="L137" s="1080"/>
      <c r="M137" s="1080"/>
      <c r="N137" s="1080"/>
      <c r="O137" s="1165"/>
      <c r="P137" s="1165"/>
      <c r="Q137" s="1165"/>
      <c r="R137" s="1165"/>
      <c r="S137" s="1165"/>
      <c r="T137" s="1165"/>
    </row>
    <row r="138" spans="1:20" ht="12.75">
      <c r="A138" s="1050"/>
      <c r="B138" s="1050"/>
      <c r="C138" s="1146"/>
      <c r="D138" s="1165"/>
      <c r="E138" s="1165"/>
      <c r="F138" s="1165"/>
      <c r="G138" s="1165"/>
      <c r="H138" s="1165"/>
      <c r="I138" s="1165"/>
      <c r="J138" s="1165"/>
      <c r="K138" s="1165"/>
      <c r="L138" s="1165"/>
      <c r="M138" s="1165"/>
      <c r="N138" s="1165"/>
      <c r="O138" s="1165"/>
      <c r="P138" s="1165"/>
      <c r="Q138" s="1165"/>
      <c r="R138" s="1165"/>
      <c r="S138" s="1165"/>
      <c r="T138" s="1165"/>
    </row>
    <row r="139" spans="1:20" ht="12.75">
      <c r="A139" s="1050"/>
      <c r="B139" s="1050"/>
      <c r="C139" s="1146"/>
      <c r="D139" s="1165"/>
      <c r="E139" s="1165"/>
      <c r="F139" s="1165"/>
      <c r="G139" s="1165"/>
      <c r="H139" s="1165"/>
      <c r="I139" s="1165"/>
      <c r="J139" s="1165"/>
      <c r="K139" s="1165"/>
      <c r="L139" s="1165"/>
      <c r="M139" s="1165"/>
      <c r="N139" s="1165"/>
      <c r="O139" s="1165"/>
      <c r="P139" s="1165"/>
      <c r="Q139" s="1165"/>
      <c r="R139" s="1165"/>
      <c r="S139" s="1165"/>
      <c r="T139" s="1165"/>
    </row>
    <row r="140" spans="1:20" ht="12.75">
      <c r="A140" s="1050"/>
      <c r="B140" s="1050"/>
      <c r="C140" s="1146"/>
      <c r="D140" s="1165"/>
      <c r="E140" s="1165"/>
      <c r="F140" s="1165"/>
      <c r="G140" s="1165"/>
      <c r="H140" s="1165"/>
      <c r="I140" s="1165"/>
      <c r="J140" s="1165"/>
      <c r="K140" s="1165"/>
      <c r="L140" s="1165"/>
      <c r="M140" s="1165"/>
      <c r="N140" s="1165"/>
      <c r="O140" s="1165"/>
      <c r="P140" s="1165"/>
      <c r="Q140" s="1165"/>
      <c r="R140" s="1165"/>
      <c r="S140" s="1165"/>
      <c r="T140" s="1165"/>
    </row>
    <row r="141" spans="1:20" ht="12.75">
      <c r="A141" s="1050"/>
      <c r="B141" s="1050"/>
      <c r="C141" s="1146"/>
      <c r="D141" s="1165"/>
      <c r="E141" s="1165"/>
      <c r="F141" s="1165"/>
      <c r="G141" s="1165"/>
      <c r="H141" s="1165"/>
      <c r="I141" s="1165"/>
      <c r="J141" s="1165"/>
      <c r="K141" s="1165"/>
      <c r="L141" s="1165"/>
      <c r="M141" s="1165"/>
      <c r="N141" s="1165"/>
      <c r="O141" s="1165"/>
      <c r="P141" s="1165"/>
      <c r="Q141" s="1165"/>
      <c r="R141" s="1165"/>
      <c r="S141" s="1165"/>
      <c r="T141" s="1165"/>
    </row>
    <row r="142" spans="1:20" ht="12.75">
      <c r="A142" s="1050"/>
      <c r="B142" s="1050"/>
      <c r="C142" s="1146"/>
      <c r="D142" s="1165"/>
      <c r="E142" s="1165"/>
      <c r="F142" s="1165"/>
      <c r="G142" s="1165"/>
      <c r="H142" s="1165"/>
      <c r="I142" s="1165"/>
      <c r="J142" s="1165"/>
      <c r="K142" s="1165"/>
      <c r="L142" s="1165"/>
      <c r="M142" s="1165"/>
      <c r="N142" s="1165"/>
      <c r="O142" s="1165"/>
      <c r="P142" s="1165"/>
      <c r="Q142" s="1165"/>
      <c r="R142" s="1165"/>
      <c r="S142" s="1165"/>
      <c r="T142" s="1165"/>
    </row>
    <row r="143" spans="1:20" ht="12.75">
      <c r="A143" s="1050"/>
      <c r="B143" s="1050"/>
      <c r="C143" s="1146"/>
      <c r="D143" s="1165"/>
      <c r="E143" s="1165"/>
      <c r="F143" s="1165"/>
      <c r="G143" s="1165"/>
      <c r="H143" s="1165"/>
      <c r="I143" s="1165"/>
      <c r="J143" s="1165"/>
      <c r="K143" s="1165"/>
      <c r="L143" s="1165"/>
      <c r="M143" s="1165"/>
      <c r="N143" s="1165"/>
      <c r="O143" s="1165"/>
      <c r="P143" s="1165"/>
      <c r="Q143" s="1165"/>
      <c r="R143" s="1165"/>
      <c r="S143" s="1165"/>
      <c r="T143" s="1165"/>
    </row>
    <row r="144" spans="1:20" ht="12.75">
      <c r="A144" s="1050"/>
      <c r="B144" s="1050"/>
      <c r="C144" s="1146"/>
      <c r="D144" s="1165"/>
      <c r="E144" s="1165"/>
      <c r="F144" s="1165"/>
      <c r="G144" s="1165"/>
      <c r="H144" s="1165"/>
      <c r="I144" s="1165"/>
      <c r="J144" s="1165"/>
      <c r="K144" s="1165"/>
      <c r="L144" s="1165"/>
      <c r="M144" s="1165"/>
      <c r="N144" s="1165"/>
      <c r="O144" s="1165"/>
      <c r="P144" s="1165"/>
      <c r="Q144" s="1165"/>
      <c r="R144" s="1165"/>
      <c r="S144" s="1165"/>
      <c r="T144" s="1165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E11" sqref="E11:F11"/>
    </sheetView>
  </sheetViews>
  <sheetFormatPr defaultColWidth="11.421875" defaultRowHeight="12.75"/>
  <cols>
    <col min="1" max="2" width="8.8515625" style="0" customWidth="1"/>
    <col min="3" max="3" width="17.00390625" style="0" customWidth="1"/>
  </cols>
  <sheetData>
    <row r="1" spans="1:7" ht="12.75">
      <c r="A1" s="916" t="s">
        <v>610</v>
      </c>
      <c r="G1" s="911" t="s">
        <v>795</v>
      </c>
    </row>
    <row r="2" ht="12.75">
      <c r="A2" s="916"/>
    </row>
    <row r="3" ht="12.75">
      <c r="A3" s="916" t="s">
        <v>515</v>
      </c>
    </row>
    <row r="5" spans="1:26" ht="12.75">
      <c r="A5" s="1050"/>
      <c r="B5" s="1049" t="s">
        <v>516</v>
      </c>
      <c r="C5" s="1049"/>
      <c r="D5" s="1050"/>
      <c r="E5" s="1050"/>
      <c r="F5" s="1050"/>
      <c r="G5" s="1050"/>
      <c r="H5" s="1050"/>
      <c r="I5" s="1050"/>
      <c r="J5" s="1050"/>
      <c r="K5" s="1050"/>
      <c r="L5" s="1050"/>
      <c r="M5" s="1050"/>
      <c r="N5" s="1050"/>
      <c r="O5" s="1050"/>
      <c r="P5" s="1050"/>
      <c r="Q5" s="1050"/>
      <c r="R5" s="1050"/>
      <c r="S5" s="1050"/>
      <c r="T5" s="1050"/>
      <c r="U5" s="1050"/>
      <c r="V5" s="1050"/>
      <c r="W5" s="1050"/>
      <c r="X5" s="1050"/>
      <c r="Y5" s="1050"/>
      <c r="Z5" s="1050"/>
    </row>
    <row r="6" spans="1:26" ht="13.5" thickBot="1">
      <c r="A6" s="1050"/>
      <c r="B6" s="1049"/>
      <c r="C6" s="1049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N6" s="1050"/>
      <c r="O6" s="1050"/>
      <c r="P6" s="1050"/>
      <c r="Q6" s="1050"/>
      <c r="R6" s="1050"/>
      <c r="S6" s="1050"/>
      <c r="T6" s="1050"/>
      <c r="U6" s="1050"/>
      <c r="V6" s="1050"/>
      <c r="W6" s="1050"/>
      <c r="X6" s="1050"/>
      <c r="Y6" s="1050"/>
      <c r="Z6" s="1050"/>
    </row>
    <row r="7" spans="1:26" ht="12.75">
      <c r="A7" s="1050"/>
      <c r="B7" s="1049"/>
      <c r="C7" s="1090"/>
      <c r="D7" s="1067" t="s">
        <v>482</v>
      </c>
      <c r="E7" s="1068"/>
      <c r="F7" s="1068"/>
      <c r="G7" s="1068"/>
      <c r="H7" s="1069"/>
      <c r="I7" s="1068" t="s">
        <v>483</v>
      </c>
      <c r="J7" s="1070"/>
      <c r="K7" s="1070"/>
      <c r="L7" s="1070"/>
      <c r="M7" s="1069"/>
      <c r="N7" s="280"/>
      <c r="O7" s="1027" t="s">
        <v>482</v>
      </c>
      <c r="P7" s="1028"/>
      <c r="Q7" s="1029"/>
      <c r="R7" s="280"/>
      <c r="S7" s="1027" t="s">
        <v>483</v>
      </c>
      <c r="T7" s="1029"/>
      <c r="U7" s="1050"/>
      <c r="V7" s="1050"/>
      <c r="W7" s="1050"/>
      <c r="X7" s="1050"/>
      <c r="Y7" s="1050"/>
      <c r="Z7" s="1050"/>
    </row>
    <row r="8" spans="1:26" ht="12.75">
      <c r="A8" s="1050"/>
      <c r="B8" s="1050"/>
      <c r="C8" s="1091"/>
      <c r="D8" s="1030" t="s">
        <v>674</v>
      </c>
      <c r="E8" s="1031" t="s">
        <v>675</v>
      </c>
      <c r="F8" s="1031" t="s">
        <v>535</v>
      </c>
      <c r="G8" s="1031" t="s">
        <v>676</v>
      </c>
      <c r="H8" s="1032" t="s">
        <v>538</v>
      </c>
      <c r="I8" s="1092" t="s">
        <v>484</v>
      </c>
      <c r="J8" s="1031" t="s">
        <v>785</v>
      </c>
      <c r="K8" s="1031" t="s">
        <v>786</v>
      </c>
      <c r="L8" s="1031" t="s">
        <v>787</v>
      </c>
      <c r="M8" s="1032" t="s">
        <v>788</v>
      </c>
      <c r="N8" s="280"/>
      <c r="O8" s="1030" t="s">
        <v>775</v>
      </c>
      <c r="P8" s="1031" t="s">
        <v>776</v>
      </c>
      <c r="Q8" s="1032" t="s">
        <v>816</v>
      </c>
      <c r="R8" s="280"/>
      <c r="S8" s="1030" t="s">
        <v>776</v>
      </c>
      <c r="T8" s="1032" t="s">
        <v>777</v>
      </c>
      <c r="U8" s="1050"/>
      <c r="V8" s="1050"/>
      <c r="W8" s="1050"/>
      <c r="X8" s="1050"/>
      <c r="Y8" s="1050"/>
      <c r="Z8" s="1050"/>
    </row>
    <row r="9" spans="1:26" ht="12.75">
      <c r="A9" s="1050"/>
      <c r="B9" s="1050"/>
      <c r="C9" s="1093"/>
      <c r="D9" s="1073" t="s">
        <v>509</v>
      </c>
      <c r="E9" s="1074" t="s">
        <v>509</v>
      </c>
      <c r="F9" s="1074" t="s">
        <v>509</v>
      </c>
      <c r="G9" s="1074" t="s">
        <v>509</v>
      </c>
      <c r="H9" s="1075" t="s">
        <v>509</v>
      </c>
      <c r="I9" s="1094" t="s">
        <v>509</v>
      </c>
      <c r="J9" s="1074" t="s">
        <v>509</v>
      </c>
      <c r="K9" s="1074" t="s">
        <v>509</v>
      </c>
      <c r="L9" s="1074" t="s">
        <v>509</v>
      </c>
      <c r="M9" s="1075" t="s">
        <v>509</v>
      </c>
      <c r="N9" s="342"/>
      <c r="O9" s="1073" t="s">
        <v>509</v>
      </c>
      <c r="P9" s="1074" t="s">
        <v>509</v>
      </c>
      <c r="Q9" s="1075" t="s">
        <v>509</v>
      </c>
      <c r="R9" s="342"/>
      <c r="S9" s="1073" t="s">
        <v>509</v>
      </c>
      <c r="T9" s="1075" t="s">
        <v>509</v>
      </c>
      <c r="U9" s="1050"/>
      <c r="V9" s="1050"/>
      <c r="W9" s="1050"/>
      <c r="X9" s="1050"/>
      <c r="Y9" s="1050"/>
      <c r="Z9" s="1050"/>
    </row>
    <row r="10" spans="1:26" ht="12.75">
      <c r="A10" s="1050"/>
      <c r="B10" s="1050"/>
      <c r="C10" s="1095" t="s">
        <v>518</v>
      </c>
      <c r="D10" s="1077"/>
      <c r="E10" s="1078"/>
      <c r="F10" s="1078"/>
      <c r="G10" s="1078"/>
      <c r="H10" s="1079"/>
      <c r="I10" s="1078"/>
      <c r="J10" s="1078"/>
      <c r="K10" s="1078"/>
      <c r="L10" s="1078"/>
      <c r="M10" s="1079"/>
      <c r="N10" s="342"/>
      <c r="O10" s="1077"/>
      <c r="P10" s="1080"/>
      <c r="Q10" s="1081"/>
      <c r="R10" s="342"/>
      <c r="S10" s="1077"/>
      <c r="T10" s="1082"/>
      <c r="U10" s="1050"/>
      <c r="V10" s="1050"/>
      <c r="W10" s="1050"/>
      <c r="X10" s="1050"/>
      <c r="Y10" s="1050"/>
      <c r="Z10" s="1050"/>
    </row>
    <row r="11" spans="1:26" ht="12.75">
      <c r="A11" s="1050"/>
      <c r="B11" s="1050"/>
      <c r="C11" s="1096" t="s">
        <v>598</v>
      </c>
      <c r="D11" s="330">
        <v>1.128449491387492</v>
      </c>
      <c r="E11" s="331">
        <v>1.3414500463147323</v>
      </c>
      <c r="F11" s="331">
        <v>0.7934891311754685</v>
      </c>
      <c r="G11" s="331">
        <v>1.0013579221453288</v>
      </c>
      <c r="H11" s="332">
        <v>1.1085926989968014</v>
      </c>
      <c r="I11" s="331">
        <v>1.0537833919966832</v>
      </c>
      <c r="J11" s="333">
        <v>1.0312306586243754</v>
      </c>
      <c r="K11" s="333">
        <v>1.028973635186973</v>
      </c>
      <c r="L11" s="333">
        <v>1.129259125021439</v>
      </c>
      <c r="M11" s="332">
        <v>1.1401863611956096</v>
      </c>
      <c r="N11" s="355"/>
      <c r="O11" s="1038">
        <v>3.2633886688776927</v>
      </c>
      <c r="P11" s="1039">
        <v>2.10995062114213</v>
      </c>
      <c r="Q11" s="1040">
        <v>5.373339290019823</v>
      </c>
      <c r="R11" s="356"/>
      <c r="S11" s="1038">
        <v>5.38343317202508</v>
      </c>
      <c r="T11" s="1041">
        <v>0.0018785119383778017</v>
      </c>
      <c r="U11" s="1050"/>
      <c r="V11" s="1050"/>
      <c r="W11" s="1050"/>
      <c r="X11" s="1050"/>
      <c r="Y11" s="1050"/>
      <c r="Z11" s="1050"/>
    </row>
    <row r="12" spans="1:26" ht="12.75">
      <c r="A12" s="1050"/>
      <c r="B12" s="1050"/>
      <c r="C12" s="1096" t="s">
        <v>593</v>
      </c>
      <c r="D12" s="330">
        <v>2.573225269808222</v>
      </c>
      <c r="E12" s="331">
        <v>4.230727069146464</v>
      </c>
      <c r="F12" s="331">
        <v>4.562562504258944</v>
      </c>
      <c r="G12" s="331">
        <v>1.8914538529411764</v>
      </c>
      <c r="H12" s="332">
        <v>1.9954668581942427</v>
      </c>
      <c r="I12" s="331">
        <v>2.950593497590713</v>
      </c>
      <c r="J12" s="333">
        <v>2.990568910010688</v>
      </c>
      <c r="K12" s="333">
        <v>2.984023542042221</v>
      </c>
      <c r="L12" s="333">
        <v>3.0797976136948333</v>
      </c>
      <c r="M12" s="332">
        <v>3.3169057780235915</v>
      </c>
      <c r="N12" s="355"/>
      <c r="O12" s="1038">
        <v>11.36651484321363</v>
      </c>
      <c r="P12" s="1039">
        <v>3.886920711135419</v>
      </c>
      <c r="Q12" s="1040">
        <v>15.253435554349048</v>
      </c>
      <c r="R12" s="356"/>
      <c r="S12" s="1038">
        <v>15.321889341362045</v>
      </c>
      <c r="T12" s="1041">
        <v>0.004487761905774688</v>
      </c>
      <c r="U12" s="1050"/>
      <c r="V12" s="1050"/>
      <c r="W12" s="1050"/>
      <c r="X12" s="1050"/>
      <c r="Y12" s="1050"/>
      <c r="Z12" s="1050"/>
    </row>
    <row r="13" spans="1:26" ht="12.75">
      <c r="A13" s="1050"/>
      <c r="B13" s="1050"/>
      <c r="C13" s="1096" t="s">
        <v>594</v>
      </c>
      <c r="D13" s="330">
        <v>2.7728870482237062</v>
      </c>
      <c r="E13" s="331">
        <v>8.771019533596327</v>
      </c>
      <c r="F13" s="331">
        <v>8.232449735945487</v>
      </c>
      <c r="G13" s="331">
        <v>12.57260502249135</v>
      </c>
      <c r="H13" s="332">
        <v>11.751082609366092</v>
      </c>
      <c r="I13" s="331">
        <v>16.649777593547597</v>
      </c>
      <c r="J13" s="333">
        <v>20.83085930421238</v>
      </c>
      <c r="K13" s="333">
        <v>11.01001789650061</v>
      </c>
      <c r="L13" s="333">
        <v>10.779291647931917</v>
      </c>
      <c r="M13" s="332">
        <v>5.3899718892883355</v>
      </c>
      <c r="N13" s="355"/>
      <c r="O13" s="1038">
        <v>19.77635631776552</v>
      </c>
      <c r="P13" s="1039">
        <v>24.323687631857442</v>
      </c>
      <c r="Q13" s="1040">
        <v>44.100043949622965</v>
      </c>
      <c r="R13" s="356"/>
      <c r="S13" s="1038">
        <v>64.65991833148084</v>
      </c>
      <c r="T13" s="1041">
        <v>0.466209838823384</v>
      </c>
      <c r="U13" s="1050"/>
      <c r="V13" s="1050"/>
      <c r="W13" s="1050"/>
      <c r="X13" s="1050"/>
      <c r="Y13" s="1050"/>
      <c r="Z13" s="1050"/>
    </row>
    <row r="14" spans="1:26" ht="12.75">
      <c r="A14" s="1050"/>
      <c r="B14" s="1050"/>
      <c r="C14" s="1096" t="s">
        <v>431</v>
      </c>
      <c r="D14" s="330">
        <v>9.357862582931311</v>
      </c>
      <c r="E14" s="331">
        <v>5.881742510764595</v>
      </c>
      <c r="F14" s="331">
        <v>1.7853505451448042</v>
      </c>
      <c r="G14" s="331">
        <v>3.226597749134948</v>
      </c>
      <c r="H14" s="332">
        <v>17.51576464414946</v>
      </c>
      <c r="I14" s="331">
        <v>6.217322012780432</v>
      </c>
      <c r="J14" s="333">
        <v>5.053030227259439</v>
      </c>
      <c r="K14" s="333">
        <v>14.302733529098925</v>
      </c>
      <c r="L14" s="333">
        <v>14.988348386648187</v>
      </c>
      <c r="M14" s="332">
        <v>21.145274334900392</v>
      </c>
      <c r="N14" s="355"/>
      <c r="O14" s="1038">
        <v>17.024955638840712</v>
      </c>
      <c r="P14" s="1039">
        <v>20.74236239328441</v>
      </c>
      <c r="Q14" s="1040">
        <v>37.76731803212512</v>
      </c>
      <c r="R14" s="356"/>
      <c r="S14" s="1038">
        <v>61.706708490687376</v>
      </c>
      <c r="T14" s="1041">
        <v>0.6338652492665553</v>
      </c>
      <c r="U14" s="1050"/>
      <c r="V14" s="1050"/>
      <c r="W14" s="1050"/>
      <c r="X14" s="1050"/>
      <c r="Y14" s="1050"/>
      <c r="Z14" s="1050"/>
    </row>
    <row r="15" spans="1:26" ht="38.25">
      <c r="A15" s="1050"/>
      <c r="B15" s="1050"/>
      <c r="C15" s="1097" t="s">
        <v>385</v>
      </c>
      <c r="D15" s="334"/>
      <c r="E15" s="335"/>
      <c r="F15" s="335"/>
      <c r="G15" s="331">
        <v>0</v>
      </c>
      <c r="H15" s="332">
        <v>0</v>
      </c>
      <c r="I15" s="331">
        <v>0</v>
      </c>
      <c r="J15" s="333">
        <v>0</v>
      </c>
      <c r="K15" s="333">
        <v>0</v>
      </c>
      <c r="L15" s="333">
        <v>0</v>
      </c>
      <c r="M15" s="332">
        <v>0</v>
      </c>
      <c r="N15" s="356"/>
      <c r="O15" s="1038">
        <v>0</v>
      </c>
      <c r="P15" s="1039">
        <v>0</v>
      </c>
      <c r="Q15" s="1040">
        <v>0</v>
      </c>
      <c r="R15" s="356"/>
      <c r="S15" s="1038">
        <v>0</v>
      </c>
      <c r="T15" s="1041" t="s">
        <v>708</v>
      </c>
      <c r="U15" s="1050"/>
      <c r="V15" s="1050"/>
      <c r="W15" s="1050"/>
      <c r="X15" s="1050"/>
      <c r="Y15" s="1050"/>
      <c r="Z15" s="1050"/>
    </row>
    <row r="16" spans="1:26" ht="12.75">
      <c r="A16" s="1050"/>
      <c r="B16" s="1050"/>
      <c r="C16" s="1097" t="s">
        <v>816</v>
      </c>
      <c r="D16" s="1098">
        <v>15.832424392350731</v>
      </c>
      <c r="E16" s="1099">
        <v>20.224939159822117</v>
      </c>
      <c r="F16" s="1099">
        <v>15.373851916524703</v>
      </c>
      <c r="G16" s="1099">
        <v>18.692014546712805</v>
      </c>
      <c r="H16" s="1100">
        <v>32.3709068107066</v>
      </c>
      <c r="I16" s="1099">
        <v>26.871476495915427</v>
      </c>
      <c r="J16" s="1101">
        <v>29.905689100106883</v>
      </c>
      <c r="K16" s="1101">
        <v>29.325748602828728</v>
      </c>
      <c r="L16" s="1101">
        <v>29.976696773296375</v>
      </c>
      <c r="M16" s="1100">
        <v>30.992338363407928</v>
      </c>
      <c r="N16" s="357"/>
      <c r="O16" s="1098">
        <v>51.431215468697545</v>
      </c>
      <c r="P16" s="1101">
        <v>51.062921357419405</v>
      </c>
      <c r="Q16" s="1100">
        <v>102.49413682611694</v>
      </c>
      <c r="R16" s="357"/>
      <c r="S16" s="1098">
        <v>147.07194933555533</v>
      </c>
      <c r="T16" s="1102">
        <v>0.434930366651757</v>
      </c>
      <c r="U16" s="1050"/>
      <c r="V16" s="1050"/>
      <c r="W16" s="1050"/>
      <c r="X16" s="1050"/>
      <c r="Y16" s="1050"/>
      <c r="Z16" s="1050"/>
    </row>
    <row r="17" spans="1:26" ht="12.75">
      <c r="A17" s="1050"/>
      <c r="B17" s="1050"/>
      <c r="C17" s="1097"/>
      <c r="D17" s="1103"/>
      <c r="E17" s="1104"/>
      <c r="F17" s="1104"/>
      <c r="G17" s="1104"/>
      <c r="H17" s="1105"/>
      <c r="I17" s="1104"/>
      <c r="J17" s="1104"/>
      <c r="K17" s="1104"/>
      <c r="L17" s="1104"/>
      <c r="M17" s="1105"/>
      <c r="N17" s="355"/>
      <c r="O17" s="1103"/>
      <c r="P17" s="1106"/>
      <c r="Q17" s="1107"/>
      <c r="R17" s="355"/>
      <c r="S17" s="1103"/>
      <c r="T17" s="1108"/>
      <c r="U17" s="1050"/>
      <c r="V17" s="1050"/>
      <c r="W17" s="1050"/>
      <c r="X17" s="1050"/>
      <c r="Y17" s="1050"/>
      <c r="Z17" s="1050"/>
    </row>
    <row r="18" spans="1:26" ht="38.25">
      <c r="A18" s="1050"/>
      <c r="B18" s="1050"/>
      <c r="C18" s="1097" t="s">
        <v>401</v>
      </c>
      <c r="D18" s="334"/>
      <c r="E18" s="335"/>
      <c r="F18" s="335"/>
      <c r="G18" s="331">
        <v>0</v>
      </c>
      <c r="H18" s="332">
        <v>0</v>
      </c>
      <c r="I18" s="331">
        <v>0</v>
      </c>
      <c r="J18" s="333">
        <v>0</v>
      </c>
      <c r="K18" s="333">
        <v>0</v>
      </c>
      <c r="L18" s="333">
        <v>0</v>
      </c>
      <c r="M18" s="332">
        <v>0</v>
      </c>
      <c r="N18" s="356"/>
      <c r="O18" s="1038">
        <v>0</v>
      </c>
      <c r="P18" s="1039">
        <v>0</v>
      </c>
      <c r="Q18" s="1040">
        <v>0</v>
      </c>
      <c r="R18" s="356"/>
      <c r="S18" s="1038">
        <v>0</v>
      </c>
      <c r="T18" s="1041" t="s">
        <v>708</v>
      </c>
      <c r="U18" s="1050"/>
      <c r="V18" s="1050"/>
      <c r="W18" s="1050"/>
      <c r="X18" s="1050"/>
      <c r="Y18" s="1050"/>
      <c r="Z18" s="1050"/>
    </row>
    <row r="19" spans="1:26" ht="39" thickBot="1">
      <c r="A19" s="1050"/>
      <c r="B19" s="1050"/>
      <c r="C19" s="1109" t="s">
        <v>402</v>
      </c>
      <c r="D19" s="337"/>
      <c r="E19" s="338"/>
      <c r="F19" s="338"/>
      <c r="G19" s="339">
        <v>0</v>
      </c>
      <c r="H19" s="340">
        <v>0</v>
      </c>
      <c r="I19" s="339">
        <v>0</v>
      </c>
      <c r="J19" s="341">
        <v>0</v>
      </c>
      <c r="K19" s="341">
        <v>0</v>
      </c>
      <c r="L19" s="341">
        <v>0</v>
      </c>
      <c r="M19" s="340">
        <v>0</v>
      </c>
      <c r="N19" s="356"/>
      <c r="O19" s="1042">
        <v>0</v>
      </c>
      <c r="P19" s="1043">
        <v>0</v>
      </c>
      <c r="Q19" s="1044">
        <v>0</v>
      </c>
      <c r="R19" s="356"/>
      <c r="S19" s="1042">
        <v>0</v>
      </c>
      <c r="T19" s="1045" t="s">
        <v>708</v>
      </c>
      <c r="U19" s="1050"/>
      <c r="V19" s="1050"/>
      <c r="W19" s="1050"/>
      <c r="X19" s="1050"/>
      <c r="Y19" s="1050"/>
      <c r="Z19" s="1050"/>
    </row>
    <row r="20" spans="1:26" ht="12.75">
      <c r="A20" s="1050"/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</row>
    <row r="21" spans="1:26" ht="12.75">
      <c r="A21" s="1050"/>
      <c r="B21" s="1050"/>
      <c r="C21" s="1050"/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0"/>
      <c r="P21" s="1050"/>
      <c r="Q21" s="1050"/>
      <c r="R21" s="1050"/>
      <c r="S21" s="1050"/>
      <c r="T21" s="1050"/>
      <c r="U21" s="1050"/>
      <c r="V21" s="1050"/>
      <c r="W21" s="1050"/>
      <c r="X21" s="1050"/>
      <c r="Y21" s="1050"/>
      <c r="Z21" s="1050"/>
    </row>
    <row r="22" spans="1:26" ht="12.75">
      <c r="A22" s="1050"/>
      <c r="B22" s="1049" t="s">
        <v>404</v>
      </c>
      <c r="C22" s="1050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0"/>
      <c r="T22" s="1050"/>
      <c r="U22" s="1050"/>
      <c r="V22" s="1050"/>
      <c r="W22" s="1050"/>
      <c r="X22" s="1050"/>
      <c r="Y22" s="1050"/>
      <c r="Z22" s="1050"/>
    </row>
    <row r="23" spans="1:26" ht="13.5" thickBot="1">
      <c r="A23" s="1050"/>
      <c r="B23" s="1050"/>
      <c r="C23" s="1050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0"/>
      <c r="T23" s="1050"/>
      <c r="U23" s="1050"/>
      <c r="V23" s="1050"/>
      <c r="W23" s="1050"/>
      <c r="X23" s="1050"/>
      <c r="Y23" s="1050"/>
      <c r="Z23" s="1050"/>
    </row>
    <row r="24" spans="1:26" ht="12.75">
      <c r="A24" s="1050"/>
      <c r="B24" s="1110"/>
      <c r="C24" s="1028" t="s">
        <v>405</v>
      </c>
      <c r="D24" s="1028"/>
      <c r="E24" s="1028"/>
      <c r="F24" s="1111"/>
      <c r="G24" s="1068"/>
      <c r="H24" s="1112"/>
      <c r="I24" s="1113"/>
      <c r="J24" s="1067" t="s">
        <v>482</v>
      </c>
      <c r="K24" s="1068"/>
      <c r="L24" s="1068"/>
      <c r="M24" s="1068"/>
      <c r="N24" s="1069"/>
      <c r="O24" s="1068" t="s">
        <v>483</v>
      </c>
      <c r="P24" s="1070"/>
      <c r="Q24" s="1070"/>
      <c r="R24" s="1070"/>
      <c r="S24" s="1069"/>
      <c r="T24" s="1114" t="s">
        <v>406</v>
      </c>
      <c r="U24" s="1115"/>
      <c r="V24" s="1115"/>
      <c r="W24" s="1115"/>
      <c r="X24" s="1115"/>
      <c r="Y24" s="1115"/>
      <c r="Z24" s="1116"/>
    </row>
    <row r="25" spans="1:26" s="378" customFormat="1" ht="101.25" customHeight="1">
      <c r="A25" s="371"/>
      <c r="B25" s="372"/>
      <c r="C25" s="373" t="s">
        <v>275</v>
      </c>
      <c r="D25" s="374" t="s">
        <v>559</v>
      </c>
      <c r="E25" s="373" t="s">
        <v>560</v>
      </c>
      <c r="F25" s="375" t="s">
        <v>409</v>
      </c>
      <c r="G25" s="375" t="s">
        <v>410</v>
      </c>
      <c r="H25" s="376" t="s">
        <v>411</v>
      </c>
      <c r="I25" s="377" t="s">
        <v>416</v>
      </c>
      <c r="J25" s="376" t="s">
        <v>674</v>
      </c>
      <c r="K25" s="373" t="s">
        <v>675</v>
      </c>
      <c r="L25" s="373" t="s">
        <v>535</v>
      </c>
      <c r="M25" s="373" t="s">
        <v>676</v>
      </c>
      <c r="N25" s="377" t="s">
        <v>538</v>
      </c>
      <c r="O25" s="376" t="s">
        <v>484</v>
      </c>
      <c r="P25" s="373" t="s">
        <v>785</v>
      </c>
      <c r="Q25" s="373" t="s">
        <v>786</v>
      </c>
      <c r="R25" s="373" t="s">
        <v>787</v>
      </c>
      <c r="S25" s="377" t="s">
        <v>788</v>
      </c>
      <c r="T25" s="1452" t="s">
        <v>719</v>
      </c>
      <c r="U25" s="1453"/>
      <c r="V25" s="1453"/>
      <c r="W25" s="1453"/>
      <c r="X25" s="1453"/>
      <c r="Y25" s="1453"/>
      <c r="Z25" s="1454"/>
    </row>
    <row r="26" spans="1:26" ht="12.75">
      <c r="A26" s="1050"/>
      <c r="B26" s="1093"/>
      <c r="C26" s="1117" t="s">
        <v>720</v>
      </c>
      <c r="D26" s="1118" t="s">
        <v>721</v>
      </c>
      <c r="E26" s="1117" t="s">
        <v>722</v>
      </c>
      <c r="F26" s="1119" t="s">
        <v>723</v>
      </c>
      <c r="G26" s="1119" t="s">
        <v>724</v>
      </c>
      <c r="H26" s="1120" t="s">
        <v>509</v>
      </c>
      <c r="I26" s="1121" t="s">
        <v>509</v>
      </c>
      <c r="J26" s="1073" t="s">
        <v>509</v>
      </c>
      <c r="K26" s="1074" t="s">
        <v>509</v>
      </c>
      <c r="L26" s="1074" t="s">
        <v>509</v>
      </c>
      <c r="M26" s="1074" t="s">
        <v>509</v>
      </c>
      <c r="N26" s="1075" t="s">
        <v>509</v>
      </c>
      <c r="O26" s="1073" t="s">
        <v>509</v>
      </c>
      <c r="P26" s="1074" t="s">
        <v>509</v>
      </c>
      <c r="Q26" s="1074" t="s">
        <v>509</v>
      </c>
      <c r="R26" s="1074" t="s">
        <v>509</v>
      </c>
      <c r="S26" s="1075" t="s">
        <v>509</v>
      </c>
      <c r="T26" s="1455" t="s">
        <v>580</v>
      </c>
      <c r="U26" s="1456"/>
      <c r="V26" s="1456"/>
      <c r="W26" s="1456"/>
      <c r="X26" s="1456"/>
      <c r="Y26" s="1456"/>
      <c r="Z26" s="1457"/>
    </row>
    <row r="27" spans="1:26" ht="12.75">
      <c r="A27" s="1122"/>
      <c r="B27" s="1123">
        <v>1</v>
      </c>
      <c r="C27" s="358" t="s">
        <v>709</v>
      </c>
      <c r="D27" s="358" t="s">
        <v>813</v>
      </c>
      <c r="E27" s="358" t="s">
        <v>710</v>
      </c>
      <c r="F27" s="359">
        <v>2013</v>
      </c>
      <c r="G27" s="359">
        <v>189</v>
      </c>
      <c r="H27" s="360">
        <v>0.4111145679503835</v>
      </c>
      <c r="I27" s="1124">
        <v>0.4111145679503835</v>
      </c>
      <c r="J27" s="360">
        <v>0</v>
      </c>
      <c r="K27" s="361">
        <v>0</v>
      </c>
      <c r="L27" s="361">
        <v>0</v>
      </c>
      <c r="M27" s="361">
        <v>0</v>
      </c>
      <c r="N27" s="362">
        <v>0</v>
      </c>
      <c r="O27" s="361">
        <v>0</v>
      </c>
      <c r="P27" s="363">
        <v>0</v>
      </c>
      <c r="Q27" s="363">
        <v>0.2057947270373946</v>
      </c>
      <c r="R27" s="363">
        <v>0.2053198409129889</v>
      </c>
      <c r="S27" s="362">
        <v>0</v>
      </c>
      <c r="T27" s="1449" t="s">
        <v>711</v>
      </c>
      <c r="U27" s="1450" t="e">
        <v>#REF!</v>
      </c>
      <c r="V27" s="1450" t="e">
        <v>#REF!</v>
      </c>
      <c r="W27" s="1450" t="e">
        <v>#REF!</v>
      </c>
      <c r="X27" s="1450" t="e">
        <v>#REF!</v>
      </c>
      <c r="Y27" s="1450" t="e">
        <v>#REF!</v>
      </c>
      <c r="Z27" s="1451" t="e">
        <v>#REF!</v>
      </c>
    </row>
    <row r="28" spans="1:26" ht="12.75">
      <c r="A28" s="1122"/>
      <c r="B28" s="1125">
        <v>2</v>
      </c>
      <c r="C28" s="358" t="s">
        <v>712</v>
      </c>
      <c r="D28" s="358" t="s">
        <v>713</v>
      </c>
      <c r="E28" s="358" t="s">
        <v>714</v>
      </c>
      <c r="F28" s="359">
        <v>2007</v>
      </c>
      <c r="G28" s="359">
        <v>6.5</v>
      </c>
      <c r="H28" s="360">
        <v>0.7331378277232168</v>
      </c>
      <c r="I28" s="1124">
        <v>0.7331378277232168</v>
      </c>
      <c r="J28" s="360">
        <v>0</v>
      </c>
      <c r="K28" s="361">
        <v>0</v>
      </c>
      <c r="L28" s="361">
        <v>0</v>
      </c>
      <c r="M28" s="361">
        <v>0</v>
      </c>
      <c r="N28" s="362">
        <v>0</v>
      </c>
      <c r="O28" s="361">
        <v>0.5268916959983416</v>
      </c>
      <c r="P28" s="363">
        <v>0.2062461317248751</v>
      </c>
      <c r="Q28" s="363">
        <v>0</v>
      </c>
      <c r="R28" s="363">
        <v>0</v>
      </c>
      <c r="S28" s="362">
        <v>0</v>
      </c>
      <c r="T28" s="1449" t="s">
        <v>827</v>
      </c>
      <c r="U28" s="1450" t="e">
        <v>#REF!</v>
      </c>
      <c r="V28" s="1450" t="e">
        <v>#REF!</v>
      </c>
      <c r="W28" s="1450" t="e">
        <v>#REF!</v>
      </c>
      <c r="X28" s="1450" t="e">
        <v>#REF!</v>
      </c>
      <c r="Y28" s="1450" t="e">
        <v>#REF!</v>
      </c>
      <c r="Z28" s="1451" t="e">
        <v>#REF!</v>
      </c>
    </row>
    <row r="29" spans="1:26" ht="12.75">
      <c r="A29" s="1122"/>
      <c r="B29" s="1125">
        <v>3</v>
      </c>
      <c r="C29" s="358" t="s">
        <v>828</v>
      </c>
      <c r="D29" s="358" t="s">
        <v>713</v>
      </c>
      <c r="E29" s="358" t="s">
        <v>710</v>
      </c>
      <c r="F29" s="359">
        <v>2012</v>
      </c>
      <c r="G29" s="359">
        <v>15</v>
      </c>
      <c r="H29" s="360">
        <v>0.6159595227389667</v>
      </c>
      <c r="I29" s="1124">
        <v>0.6159595227389667</v>
      </c>
      <c r="J29" s="360">
        <v>0</v>
      </c>
      <c r="K29" s="361">
        <v>0</v>
      </c>
      <c r="L29" s="361">
        <v>0</v>
      </c>
      <c r="M29" s="361">
        <v>0</v>
      </c>
      <c r="N29" s="362">
        <v>0</v>
      </c>
      <c r="O29" s="361">
        <v>0</v>
      </c>
      <c r="P29" s="363">
        <v>0</v>
      </c>
      <c r="Q29" s="363">
        <v>0</v>
      </c>
      <c r="R29" s="363">
        <v>0.6159595227389667</v>
      </c>
      <c r="S29" s="362">
        <v>0</v>
      </c>
      <c r="T29" s="1449" t="s">
        <v>829</v>
      </c>
      <c r="U29" s="1450" t="e">
        <v>#REF!</v>
      </c>
      <c r="V29" s="1450" t="e">
        <v>#REF!</v>
      </c>
      <c r="W29" s="1450" t="e">
        <v>#REF!</v>
      </c>
      <c r="X29" s="1450" t="e">
        <v>#REF!</v>
      </c>
      <c r="Y29" s="1450" t="e">
        <v>#REF!</v>
      </c>
      <c r="Z29" s="1451" t="e">
        <v>#REF!</v>
      </c>
    </row>
    <row r="30" spans="1:26" ht="12.75">
      <c r="A30" s="1122"/>
      <c r="B30" s="1125">
        <v>4</v>
      </c>
      <c r="C30" s="358" t="s">
        <v>830</v>
      </c>
      <c r="D30" s="358" t="s">
        <v>831</v>
      </c>
      <c r="E30" s="358" t="s">
        <v>710</v>
      </c>
      <c r="F30" s="359">
        <v>2009</v>
      </c>
      <c r="G30" s="359">
        <v>19.75</v>
      </c>
      <c r="H30" s="360">
        <v>1.085</v>
      </c>
      <c r="I30" s="1124">
        <v>1.085</v>
      </c>
      <c r="J30" s="360">
        <v>0</v>
      </c>
      <c r="K30" s="361">
        <v>0</v>
      </c>
      <c r="L30" s="361">
        <v>0</v>
      </c>
      <c r="M30" s="361">
        <v>0</v>
      </c>
      <c r="N30" s="362">
        <v>0</v>
      </c>
      <c r="O30" s="361">
        <v>1.085</v>
      </c>
      <c r="P30" s="363">
        <v>0</v>
      </c>
      <c r="Q30" s="363">
        <v>0</v>
      </c>
      <c r="R30" s="363">
        <v>0</v>
      </c>
      <c r="S30" s="362">
        <v>0</v>
      </c>
      <c r="T30" s="1449" t="s">
        <v>832</v>
      </c>
      <c r="U30" s="1450" t="e">
        <v>#REF!</v>
      </c>
      <c r="V30" s="1450" t="e">
        <v>#REF!</v>
      </c>
      <c r="W30" s="1450" t="e">
        <v>#REF!</v>
      </c>
      <c r="X30" s="1450" t="e">
        <v>#REF!</v>
      </c>
      <c r="Y30" s="1450" t="e">
        <v>#REF!</v>
      </c>
      <c r="Z30" s="1451" t="e">
        <v>#REF!</v>
      </c>
    </row>
    <row r="31" spans="1:26" ht="12.75">
      <c r="A31" s="1122"/>
      <c r="B31" s="1125">
        <v>5</v>
      </c>
      <c r="C31" s="358" t="s">
        <v>833</v>
      </c>
      <c r="D31" s="358" t="s">
        <v>713</v>
      </c>
      <c r="E31" s="358" t="s">
        <v>714</v>
      </c>
      <c r="F31" s="359">
        <v>2008</v>
      </c>
      <c r="G31" s="359">
        <v>24</v>
      </c>
      <c r="H31" s="360">
        <v>0.7218614610370627</v>
      </c>
      <c r="I31" s="1124">
        <v>0.7218614610370627</v>
      </c>
      <c r="J31" s="360">
        <v>0</v>
      </c>
      <c r="K31" s="361">
        <v>0</v>
      </c>
      <c r="L31" s="361">
        <v>0</v>
      </c>
      <c r="M31" s="361">
        <v>0</v>
      </c>
      <c r="N31" s="362">
        <v>0</v>
      </c>
      <c r="O31" s="361">
        <v>0</v>
      </c>
      <c r="P31" s="363">
        <v>0.7218614610370627</v>
      </c>
      <c r="Q31" s="363">
        <v>0</v>
      </c>
      <c r="R31" s="363">
        <v>0</v>
      </c>
      <c r="S31" s="362">
        <v>0</v>
      </c>
      <c r="T31" s="1449" t="s">
        <v>834</v>
      </c>
      <c r="U31" s="1450" t="e">
        <v>#REF!</v>
      </c>
      <c r="V31" s="1450" t="e">
        <v>#REF!</v>
      </c>
      <c r="W31" s="1450" t="e">
        <v>#REF!</v>
      </c>
      <c r="X31" s="1450" t="e">
        <v>#REF!</v>
      </c>
      <c r="Y31" s="1450" t="e">
        <v>#REF!</v>
      </c>
      <c r="Z31" s="1451" t="e">
        <v>#REF!</v>
      </c>
    </row>
    <row r="32" spans="1:26" ht="12.75">
      <c r="A32" s="1122"/>
      <c r="B32" s="1125">
        <v>6</v>
      </c>
      <c r="C32" s="358" t="s">
        <v>835</v>
      </c>
      <c r="D32" s="358" t="s">
        <v>836</v>
      </c>
      <c r="E32" s="358" t="s">
        <v>847</v>
      </c>
      <c r="F32" s="359">
        <v>2013</v>
      </c>
      <c r="G32" s="359">
        <v>24</v>
      </c>
      <c r="H32" s="360">
        <v>0.5182665278161861</v>
      </c>
      <c r="I32" s="1124">
        <v>0.5182665278161861</v>
      </c>
      <c r="J32" s="360">
        <v>0</v>
      </c>
      <c r="K32" s="361">
        <v>0</v>
      </c>
      <c r="L32" s="361">
        <v>0</v>
      </c>
      <c r="M32" s="361">
        <v>0</v>
      </c>
      <c r="N32" s="362">
        <v>0</v>
      </c>
      <c r="O32" s="361">
        <v>0</v>
      </c>
      <c r="P32" s="363">
        <v>0</v>
      </c>
      <c r="Q32" s="363">
        <v>0</v>
      </c>
      <c r="R32" s="363">
        <v>0</v>
      </c>
      <c r="S32" s="362">
        <v>0.5182665278161861</v>
      </c>
      <c r="T32" s="1449" t="s">
        <v>848</v>
      </c>
      <c r="U32" s="1450" t="e">
        <v>#REF!</v>
      </c>
      <c r="V32" s="1450" t="e">
        <v>#REF!</v>
      </c>
      <c r="W32" s="1450" t="e">
        <v>#REF!</v>
      </c>
      <c r="X32" s="1450" t="e">
        <v>#REF!</v>
      </c>
      <c r="Y32" s="1450" t="e">
        <v>#REF!</v>
      </c>
      <c r="Z32" s="1451" t="e">
        <v>#REF!</v>
      </c>
    </row>
    <row r="33" spans="1:26" ht="12.75">
      <c r="A33" s="1122"/>
      <c r="B33" s="1125">
        <v>7</v>
      </c>
      <c r="C33" s="358" t="s">
        <v>10</v>
      </c>
      <c r="D33" s="358" t="s">
        <v>836</v>
      </c>
      <c r="E33" s="358" t="s">
        <v>710</v>
      </c>
      <c r="F33" s="359">
        <v>2014</v>
      </c>
      <c r="G33" s="359">
        <v>13</v>
      </c>
      <c r="H33" s="360">
        <v>0.5182665278161861</v>
      </c>
      <c r="I33" s="1124">
        <v>0.5182665278161861</v>
      </c>
      <c r="J33" s="360">
        <v>0</v>
      </c>
      <c r="K33" s="361">
        <v>0</v>
      </c>
      <c r="L33" s="361">
        <v>0</v>
      </c>
      <c r="M33" s="361">
        <v>0</v>
      </c>
      <c r="N33" s="362">
        <v>0</v>
      </c>
      <c r="O33" s="361">
        <v>0</v>
      </c>
      <c r="P33" s="363">
        <v>0</v>
      </c>
      <c r="Q33" s="363">
        <v>0</v>
      </c>
      <c r="R33" s="363">
        <v>0</v>
      </c>
      <c r="S33" s="362">
        <v>0.5182665278161861</v>
      </c>
      <c r="T33" s="1449" t="s">
        <v>913</v>
      </c>
      <c r="U33" s="1450" t="e">
        <v>#REF!</v>
      </c>
      <c r="V33" s="1450" t="e">
        <v>#REF!</v>
      </c>
      <c r="W33" s="1450" t="e">
        <v>#REF!</v>
      </c>
      <c r="X33" s="1450" t="e">
        <v>#REF!</v>
      </c>
      <c r="Y33" s="1450" t="e">
        <v>#REF!</v>
      </c>
      <c r="Z33" s="1451" t="e">
        <v>#REF!</v>
      </c>
    </row>
    <row r="34" spans="1:26" ht="12.75">
      <c r="A34" s="1122"/>
      <c r="B34" s="1125">
        <v>8</v>
      </c>
      <c r="C34" s="358" t="s">
        <v>914</v>
      </c>
      <c r="D34" s="358" t="s">
        <v>836</v>
      </c>
      <c r="E34" s="358" t="s">
        <v>915</v>
      </c>
      <c r="F34" s="359">
        <v>2008</v>
      </c>
      <c r="G34" s="359">
        <v>13</v>
      </c>
      <c r="H34" s="360">
        <v>0.2107566783993367</v>
      </c>
      <c r="I34" s="1124">
        <v>0.2107566783993367</v>
      </c>
      <c r="J34" s="360">
        <v>0</v>
      </c>
      <c r="K34" s="361">
        <v>0</v>
      </c>
      <c r="L34" s="361">
        <v>0</v>
      </c>
      <c r="M34" s="361">
        <v>0</v>
      </c>
      <c r="N34" s="362">
        <v>0</v>
      </c>
      <c r="O34" s="361">
        <v>0.2107566783993367</v>
      </c>
      <c r="P34" s="363">
        <v>0</v>
      </c>
      <c r="Q34" s="363">
        <v>0</v>
      </c>
      <c r="R34" s="363">
        <v>0</v>
      </c>
      <c r="S34" s="362">
        <v>0</v>
      </c>
      <c r="T34" s="1449" t="s">
        <v>916</v>
      </c>
      <c r="U34" s="1450" t="e">
        <v>#REF!</v>
      </c>
      <c r="V34" s="1450" t="e">
        <v>#REF!</v>
      </c>
      <c r="W34" s="1450" t="e">
        <v>#REF!</v>
      </c>
      <c r="X34" s="1450" t="e">
        <v>#REF!</v>
      </c>
      <c r="Y34" s="1450" t="e">
        <v>#REF!</v>
      </c>
      <c r="Z34" s="1451" t="e">
        <v>#REF!</v>
      </c>
    </row>
    <row r="35" spans="1:26" ht="12.75">
      <c r="A35" s="1122"/>
      <c r="B35" s="1125">
        <v>9</v>
      </c>
      <c r="C35" s="358" t="s">
        <v>917</v>
      </c>
      <c r="D35" s="358" t="s">
        <v>713</v>
      </c>
      <c r="E35" s="358" t="s">
        <v>714</v>
      </c>
      <c r="F35" s="359">
        <v>2011</v>
      </c>
      <c r="G35" s="359">
        <v>14</v>
      </c>
      <c r="H35" s="360">
        <v>1.3352912951210363</v>
      </c>
      <c r="I35" s="1124">
        <v>1.3352912951210363</v>
      </c>
      <c r="J35" s="360">
        <v>0</v>
      </c>
      <c r="K35" s="361">
        <v>0</v>
      </c>
      <c r="L35" s="361">
        <v>0</v>
      </c>
      <c r="M35" s="361">
        <v>0</v>
      </c>
      <c r="N35" s="362">
        <v>0</v>
      </c>
      <c r="O35" s="361">
        <v>0</v>
      </c>
      <c r="P35" s="363">
        <v>0</v>
      </c>
      <c r="Q35" s="363">
        <v>0.3086920905560919</v>
      </c>
      <c r="R35" s="363">
        <v>1.0265992045649444</v>
      </c>
      <c r="S35" s="362">
        <v>0</v>
      </c>
      <c r="T35" s="1449" t="s">
        <v>918</v>
      </c>
      <c r="U35" s="1450" t="e">
        <v>#REF!</v>
      </c>
      <c r="V35" s="1450" t="e">
        <v>#REF!</v>
      </c>
      <c r="W35" s="1450" t="e">
        <v>#REF!</v>
      </c>
      <c r="X35" s="1450" t="e">
        <v>#REF!</v>
      </c>
      <c r="Y35" s="1450" t="e">
        <v>#REF!</v>
      </c>
      <c r="Z35" s="1451" t="e">
        <v>#REF!</v>
      </c>
    </row>
    <row r="36" spans="1:26" ht="12.75">
      <c r="A36" s="1122"/>
      <c r="B36" s="1125">
        <v>10</v>
      </c>
      <c r="C36" s="358" t="s">
        <v>852</v>
      </c>
      <c r="D36" s="358" t="s">
        <v>713</v>
      </c>
      <c r="E36" s="358" t="s">
        <v>853</v>
      </c>
      <c r="F36" s="359">
        <v>2007</v>
      </c>
      <c r="G36" s="359">
        <v>20</v>
      </c>
      <c r="H36" s="360">
        <v>0.31613501759900503</v>
      </c>
      <c r="I36" s="1124">
        <v>0.31613501759900503</v>
      </c>
      <c r="J36" s="360">
        <v>0</v>
      </c>
      <c r="K36" s="361">
        <v>0</v>
      </c>
      <c r="L36" s="361">
        <v>0</v>
      </c>
      <c r="M36" s="361">
        <v>0</v>
      </c>
      <c r="N36" s="362">
        <v>0</v>
      </c>
      <c r="O36" s="361">
        <v>0.31613501759900503</v>
      </c>
      <c r="P36" s="363">
        <v>0</v>
      </c>
      <c r="Q36" s="363">
        <v>0</v>
      </c>
      <c r="R36" s="363">
        <v>0</v>
      </c>
      <c r="S36" s="362">
        <v>0</v>
      </c>
      <c r="T36" s="1449" t="s">
        <v>854</v>
      </c>
      <c r="U36" s="1450" t="e">
        <v>#REF!</v>
      </c>
      <c r="V36" s="1450" t="e">
        <v>#REF!</v>
      </c>
      <c r="W36" s="1450" t="e">
        <v>#REF!</v>
      </c>
      <c r="X36" s="1450" t="e">
        <v>#REF!</v>
      </c>
      <c r="Y36" s="1450" t="e">
        <v>#REF!</v>
      </c>
      <c r="Z36" s="1451" t="e">
        <v>#REF!</v>
      </c>
    </row>
    <row r="37" spans="1:26" ht="12.75">
      <c r="A37" s="1122"/>
      <c r="B37" s="1125">
        <v>11</v>
      </c>
      <c r="C37" s="358" t="s">
        <v>855</v>
      </c>
      <c r="D37" s="358" t="s">
        <v>713</v>
      </c>
      <c r="E37" s="358" t="s">
        <v>853</v>
      </c>
      <c r="F37" s="359">
        <v>2010</v>
      </c>
      <c r="G37" s="359">
        <v>56</v>
      </c>
      <c r="H37" s="360">
        <v>2.2935154556831643</v>
      </c>
      <c r="I37" s="1124">
        <v>2.2935154556831643</v>
      </c>
      <c r="J37" s="360">
        <v>0</v>
      </c>
      <c r="K37" s="361">
        <v>0</v>
      </c>
      <c r="L37" s="361">
        <v>0</v>
      </c>
      <c r="M37" s="361">
        <v>0</v>
      </c>
      <c r="N37" s="362">
        <v>0</v>
      </c>
      <c r="O37" s="361">
        <v>1.1591617311963516</v>
      </c>
      <c r="P37" s="363">
        <v>1.134353724486813</v>
      </c>
      <c r="Q37" s="363">
        <v>0</v>
      </c>
      <c r="R37" s="363">
        <v>0</v>
      </c>
      <c r="S37" s="362">
        <v>0</v>
      </c>
      <c r="T37" s="1449" t="s">
        <v>625</v>
      </c>
      <c r="U37" s="1450" t="e">
        <v>#REF!</v>
      </c>
      <c r="V37" s="1450" t="e">
        <v>#REF!</v>
      </c>
      <c r="W37" s="1450" t="e">
        <v>#REF!</v>
      </c>
      <c r="X37" s="1450" t="e">
        <v>#REF!</v>
      </c>
      <c r="Y37" s="1450" t="e">
        <v>#REF!</v>
      </c>
      <c r="Z37" s="1451" t="e">
        <v>#REF!</v>
      </c>
    </row>
    <row r="38" spans="1:26" ht="12.75">
      <c r="A38" s="1122"/>
      <c r="B38" s="1125">
        <v>12</v>
      </c>
      <c r="C38" s="358" t="s">
        <v>626</v>
      </c>
      <c r="D38" s="358" t="s">
        <v>713</v>
      </c>
      <c r="E38" s="358" t="s">
        <v>714</v>
      </c>
      <c r="F38" s="359">
        <v>2006</v>
      </c>
      <c r="G38" s="359">
        <v>14</v>
      </c>
      <c r="H38" s="360">
        <v>6.312783391996684</v>
      </c>
      <c r="I38" s="1124">
        <v>1.0537833919966832</v>
      </c>
      <c r="J38" s="360">
        <v>0</v>
      </c>
      <c r="K38" s="361">
        <v>0</v>
      </c>
      <c r="L38" s="361">
        <v>0</v>
      </c>
      <c r="M38" s="361">
        <v>1.4</v>
      </c>
      <c r="N38" s="362">
        <v>3.859</v>
      </c>
      <c r="O38" s="361">
        <v>1.0537833919966832</v>
      </c>
      <c r="P38" s="363">
        <v>0</v>
      </c>
      <c r="Q38" s="363">
        <v>0</v>
      </c>
      <c r="R38" s="363">
        <v>0</v>
      </c>
      <c r="S38" s="362">
        <v>0</v>
      </c>
      <c r="T38" s="1449" t="s">
        <v>759</v>
      </c>
      <c r="U38" s="1450" t="e">
        <v>#REF!</v>
      </c>
      <c r="V38" s="1450" t="e">
        <v>#REF!</v>
      </c>
      <c r="W38" s="1450" t="e">
        <v>#REF!</v>
      </c>
      <c r="X38" s="1450" t="e">
        <v>#REF!</v>
      </c>
      <c r="Y38" s="1450" t="e">
        <v>#REF!</v>
      </c>
      <c r="Z38" s="1451" t="e">
        <v>#REF!</v>
      </c>
    </row>
    <row r="39" spans="1:26" ht="12.75">
      <c r="A39" s="1122"/>
      <c r="B39" s="1125">
        <v>13</v>
      </c>
      <c r="C39" s="358" t="s">
        <v>760</v>
      </c>
      <c r="D39" s="358" t="s">
        <v>713</v>
      </c>
      <c r="E39" s="358" t="s">
        <v>714</v>
      </c>
      <c r="F39" s="359">
        <v>2010</v>
      </c>
      <c r="G39" s="359">
        <v>7.5</v>
      </c>
      <c r="H39" s="360">
        <v>0.41474753678698095</v>
      </c>
      <c r="I39" s="1124">
        <v>0.41474753678698095</v>
      </c>
      <c r="J39" s="360">
        <v>0</v>
      </c>
      <c r="K39" s="361">
        <v>0</v>
      </c>
      <c r="L39" s="361">
        <v>0</v>
      </c>
      <c r="M39" s="361">
        <v>0</v>
      </c>
      <c r="N39" s="362">
        <v>0</v>
      </c>
      <c r="O39" s="361">
        <v>0.10537833919966835</v>
      </c>
      <c r="P39" s="363">
        <v>0.30936919758731257</v>
      </c>
      <c r="Q39" s="363">
        <v>0</v>
      </c>
      <c r="R39" s="363">
        <v>0</v>
      </c>
      <c r="S39" s="362">
        <v>0</v>
      </c>
      <c r="T39" s="1449" t="s">
        <v>761</v>
      </c>
      <c r="U39" s="1450" t="e">
        <v>#REF!</v>
      </c>
      <c r="V39" s="1450" t="e">
        <v>#REF!</v>
      </c>
      <c r="W39" s="1450" t="e">
        <v>#REF!</v>
      </c>
      <c r="X39" s="1450" t="e">
        <v>#REF!</v>
      </c>
      <c r="Y39" s="1450" t="e">
        <v>#REF!</v>
      </c>
      <c r="Z39" s="1451" t="e">
        <v>#REF!</v>
      </c>
    </row>
    <row r="40" spans="1:26" ht="12.75">
      <c r="A40" s="1122"/>
      <c r="B40" s="1125">
        <v>14</v>
      </c>
      <c r="C40" s="358" t="s">
        <v>762</v>
      </c>
      <c r="D40" s="358" t="s">
        <v>713</v>
      </c>
      <c r="E40" s="358" t="s">
        <v>714</v>
      </c>
      <c r="F40" s="359">
        <v>2007</v>
      </c>
      <c r="G40" s="359">
        <v>24</v>
      </c>
      <c r="H40" s="360">
        <v>2.0602042938113483</v>
      </c>
      <c r="I40" s="1124">
        <v>2.0602042938113483</v>
      </c>
      <c r="J40" s="360">
        <v>0</v>
      </c>
      <c r="K40" s="361">
        <v>0</v>
      </c>
      <c r="L40" s="361">
        <v>0</v>
      </c>
      <c r="M40" s="361">
        <v>0</v>
      </c>
      <c r="N40" s="362">
        <v>0</v>
      </c>
      <c r="O40" s="361">
        <v>0</v>
      </c>
      <c r="P40" s="363">
        <v>1.0312306586243754</v>
      </c>
      <c r="Q40" s="363">
        <v>1.028973635186973</v>
      </c>
      <c r="R40" s="363">
        <v>0</v>
      </c>
      <c r="S40" s="362">
        <v>0</v>
      </c>
      <c r="T40" s="1449" t="s">
        <v>868</v>
      </c>
      <c r="U40" s="1450" t="e">
        <v>#REF!</v>
      </c>
      <c r="V40" s="1450" t="e">
        <v>#REF!</v>
      </c>
      <c r="W40" s="1450" t="e">
        <v>#REF!</v>
      </c>
      <c r="X40" s="1450" t="e">
        <v>#REF!</v>
      </c>
      <c r="Y40" s="1450" t="e">
        <v>#REF!</v>
      </c>
      <c r="Z40" s="1451" t="e">
        <v>#REF!</v>
      </c>
    </row>
    <row r="41" spans="1:26" ht="12.75">
      <c r="A41" s="1122"/>
      <c r="B41" s="1125">
        <v>15</v>
      </c>
      <c r="C41" s="358" t="s">
        <v>869</v>
      </c>
      <c r="D41" s="358" t="s">
        <v>713</v>
      </c>
      <c r="E41" s="358" t="s">
        <v>714</v>
      </c>
      <c r="F41" s="359">
        <v>2008</v>
      </c>
      <c r="G41" s="359">
        <v>3.25</v>
      </c>
      <c r="H41" s="360">
        <v>1.764368486347592</v>
      </c>
      <c r="I41" s="1124">
        <v>1.764368486347592</v>
      </c>
      <c r="J41" s="360">
        <v>0</v>
      </c>
      <c r="K41" s="361">
        <v>0</v>
      </c>
      <c r="L41" s="361">
        <v>0</v>
      </c>
      <c r="M41" s="361">
        <v>0</v>
      </c>
      <c r="N41" s="362">
        <v>0</v>
      </c>
      <c r="O41" s="361">
        <v>0.5268916959983416</v>
      </c>
      <c r="P41" s="363">
        <v>1.2374767903492503</v>
      </c>
      <c r="Q41" s="363">
        <v>0</v>
      </c>
      <c r="R41" s="363">
        <v>0</v>
      </c>
      <c r="S41" s="362">
        <v>0</v>
      </c>
      <c r="T41" s="1449" t="s">
        <v>934</v>
      </c>
      <c r="U41" s="1450" t="e">
        <v>#REF!</v>
      </c>
      <c r="V41" s="1450" t="e">
        <v>#REF!</v>
      </c>
      <c r="W41" s="1450" t="e">
        <v>#REF!</v>
      </c>
      <c r="X41" s="1450" t="e">
        <v>#REF!</v>
      </c>
      <c r="Y41" s="1450" t="e">
        <v>#REF!</v>
      </c>
      <c r="Z41" s="1451" t="e">
        <v>#REF!</v>
      </c>
    </row>
    <row r="42" spans="1:26" ht="12.75">
      <c r="A42" s="1122"/>
      <c r="B42" s="1125">
        <v>16</v>
      </c>
      <c r="C42" s="358" t="s">
        <v>779</v>
      </c>
      <c r="D42" s="358" t="s">
        <v>713</v>
      </c>
      <c r="E42" s="358" t="s">
        <v>714</v>
      </c>
      <c r="F42" s="359">
        <v>2008</v>
      </c>
      <c r="G42" s="359">
        <v>5.25</v>
      </c>
      <c r="H42" s="360">
        <v>1.235421987818663</v>
      </c>
      <c r="I42" s="1124">
        <v>1.235421987818663</v>
      </c>
      <c r="J42" s="360">
        <v>0</v>
      </c>
      <c r="K42" s="361">
        <v>0</v>
      </c>
      <c r="L42" s="361">
        <v>0</v>
      </c>
      <c r="M42" s="361">
        <v>0</v>
      </c>
      <c r="N42" s="362">
        <v>0</v>
      </c>
      <c r="O42" s="361">
        <v>0</v>
      </c>
      <c r="P42" s="363">
        <v>0.5156153293121877</v>
      </c>
      <c r="Q42" s="363">
        <v>0.5144868175934865</v>
      </c>
      <c r="R42" s="363">
        <v>0.2053198409129889</v>
      </c>
      <c r="S42" s="362">
        <v>0</v>
      </c>
      <c r="T42" s="1449" t="s">
        <v>870</v>
      </c>
      <c r="U42" s="1450" t="e">
        <v>#REF!</v>
      </c>
      <c r="V42" s="1450" t="e">
        <v>#REF!</v>
      </c>
      <c r="W42" s="1450" t="e">
        <v>#REF!</v>
      </c>
      <c r="X42" s="1450" t="e">
        <v>#REF!</v>
      </c>
      <c r="Y42" s="1450" t="e">
        <v>#REF!</v>
      </c>
      <c r="Z42" s="1451" t="e">
        <v>#REF!</v>
      </c>
    </row>
    <row r="43" spans="1:26" ht="12.75">
      <c r="A43" s="1122"/>
      <c r="B43" s="1125">
        <v>17</v>
      </c>
      <c r="C43" s="358" t="s">
        <v>871</v>
      </c>
      <c r="D43" s="358" t="s">
        <v>836</v>
      </c>
      <c r="E43" s="358" t="s">
        <v>710</v>
      </c>
      <c r="F43" s="359">
        <v>2008</v>
      </c>
      <c r="G43" s="359">
        <v>4.75</v>
      </c>
      <c r="H43" s="360">
        <v>0.5156153293121877</v>
      </c>
      <c r="I43" s="1124">
        <v>0.5156153293121877</v>
      </c>
      <c r="J43" s="360">
        <v>0</v>
      </c>
      <c r="K43" s="361">
        <v>0</v>
      </c>
      <c r="L43" s="361">
        <v>0</v>
      </c>
      <c r="M43" s="361">
        <v>0</v>
      </c>
      <c r="N43" s="362">
        <v>0</v>
      </c>
      <c r="O43" s="361">
        <v>0</v>
      </c>
      <c r="P43" s="363">
        <v>0.5156153293121877</v>
      </c>
      <c r="Q43" s="363">
        <v>0</v>
      </c>
      <c r="R43" s="363">
        <v>0</v>
      </c>
      <c r="S43" s="362">
        <v>0</v>
      </c>
      <c r="T43" s="1449" t="s">
        <v>872</v>
      </c>
      <c r="U43" s="1450" t="e">
        <v>#REF!</v>
      </c>
      <c r="V43" s="1450" t="e">
        <v>#REF!</v>
      </c>
      <c r="W43" s="1450" t="e">
        <v>#REF!</v>
      </c>
      <c r="X43" s="1450" t="e">
        <v>#REF!</v>
      </c>
      <c r="Y43" s="1450" t="e">
        <v>#REF!</v>
      </c>
      <c r="Z43" s="1451" t="e">
        <v>#REF!</v>
      </c>
    </row>
    <row r="44" spans="1:26" ht="12.75">
      <c r="A44" s="1122"/>
      <c r="B44" s="1125">
        <v>18</v>
      </c>
      <c r="C44" s="358" t="s">
        <v>873</v>
      </c>
      <c r="D44" s="358" t="s">
        <v>813</v>
      </c>
      <c r="E44" s="358" t="s">
        <v>915</v>
      </c>
      <c r="F44" s="359">
        <v>2013</v>
      </c>
      <c r="G44" s="359">
        <v>39</v>
      </c>
      <c r="H44" s="360">
        <v>0.2053198409129889</v>
      </c>
      <c r="I44" s="1124">
        <v>0.2053198409129889</v>
      </c>
      <c r="J44" s="360">
        <v>0</v>
      </c>
      <c r="K44" s="361">
        <v>0</v>
      </c>
      <c r="L44" s="361">
        <v>0</v>
      </c>
      <c r="M44" s="361">
        <v>0</v>
      </c>
      <c r="N44" s="362">
        <v>0</v>
      </c>
      <c r="O44" s="361">
        <v>0</v>
      </c>
      <c r="P44" s="363">
        <v>0</v>
      </c>
      <c r="Q44" s="363">
        <v>0</v>
      </c>
      <c r="R44" s="363">
        <v>0.2053198409129889</v>
      </c>
      <c r="S44" s="362">
        <v>0</v>
      </c>
      <c r="T44" s="1449" t="s">
        <v>874</v>
      </c>
      <c r="U44" s="1450" t="e">
        <v>#REF!</v>
      </c>
      <c r="V44" s="1450" t="e">
        <v>#REF!</v>
      </c>
      <c r="W44" s="1450" t="e">
        <v>#REF!</v>
      </c>
      <c r="X44" s="1450" t="e">
        <v>#REF!</v>
      </c>
      <c r="Y44" s="1450" t="e">
        <v>#REF!</v>
      </c>
      <c r="Z44" s="1451" t="e">
        <v>#REF!</v>
      </c>
    </row>
    <row r="45" spans="1:26" ht="12.75">
      <c r="A45" s="1122"/>
      <c r="B45" s="1125">
        <v>19</v>
      </c>
      <c r="C45" s="358" t="s">
        <v>875</v>
      </c>
      <c r="D45" s="358" t="s">
        <v>713</v>
      </c>
      <c r="E45" s="358" t="s">
        <v>714</v>
      </c>
      <c r="F45" s="359">
        <v>2007</v>
      </c>
      <c r="G45" s="359">
        <v>14.25</v>
      </c>
      <c r="H45" s="360">
        <v>0.9438945061225534</v>
      </c>
      <c r="I45" s="1124">
        <v>0.9438945061225534</v>
      </c>
      <c r="J45" s="360">
        <v>0</v>
      </c>
      <c r="K45" s="361">
        <v>0</v>
      </c>
      <c r="L45" s="361">
        <v>0</v>
      </c>
      <c r="M45" s="361">
        <v>0</v>
      </c>
      <c r="N45" s="362">
        <v>0</v>
      </c>
      <c r="O45" s="361">
        <v>0.7376483743976783</v>
      </c>
      <c r="P45" s="363">
        <v>0.2062461317248751</v>
      </c>
      <c r="Q45" s="363">
        <v>0</v>
      </c>
      <c r="R45" s="363">
        <v>0</v>
      </c>
      <c r="S45" s="362">
        <v>0</v>
      </c>
      <c r="T45" s="1449" t="s">
        <v>876</v>
      </c>
      <c r="U45" s="1450" t="e">
        <v>#REF!</v>
      </c>
      <c r="V45" s="1450" t="e">
        <v>#REF!</v>
      </c>
      <c r="W45" s="1450" t="e">
        <v>#REF!</v>
      </c>
      <c r="X45" s="1450" t="e">
        <v>#REF!</v>
      </c>
      <c r="Y45" s="1450" t="e">
        <v>#REF!</v>
      </c>
      <c r="Z45" s="1451" t="e">
        <v>#REF!</v>
      </c>
    </row>
    <row r="46" spans="1:26" ht="12.75">
      <c r="A46" s="1122"/>
      <c r="B46" s="1125">
        <v>20</v>
      </c>
      <c r="C46" s="364" t="s">
        <v>877</v>
      </c>
      <c r="D46" s="364" t="s">
        <v>836</v>
      </c>
      <c r="E46" s="364" t="s">
        <v>714</v>
      </c>
      <c r="F46" s="365">
        <v>2009</v>
      </c>
      <c r="G46" s="365">
        <v>39</v>
      </c>
      <c r="H46" s="366">
        <v>1.6860534271946936</v>
      </c>
      <c r="I46" s="1126">
        <v>1.6860534271946936</v>
      </c>
      <c r="J46" s="366">
        <v>0</v>
      </c>
      <c r="K46" s="367">
        <v>0</v>
      </c>
      <c r="L46" s="367">
        <v>0</v>
      </c>
      <c r="M46" s="367">
        <v>0</v>
      </c>
      <c r="N46" s="368">
        <v>0</v>
      </c>
      <c r="O46" s="367">
        <v>1.6860534271946936</v>
      </c>
      <c r="P46" s="369">
        <v>0</v>
      </c>
      <c r="Q46" s="369">
        <v>0</v>
      </c>
      <c r="R46" s="369">
        <v>0</v>
      </c>
      <c r="S46" s="368">
        <v>0</v>
      </c>
      <c r="T46" s="1458" t="s">
        <v>878</v>
      </c>
      <c r="U46" s="1459" t="e">
        <v>#REF!</v>
      </c>
      <c r="V46" s="1459" t="e">
        <v>#REF!</v>
      </c>
      <c r="W46" s="1459" t="e">
        <v>#REF!</v>
      </c>
      <c r="X46" s="1459" t="e">
        <v>#REF!</v>
      </c>
      <c r="Y46" s="1459" t="e">
        <v>#REF!</v>
      </c>
      <c r="Z46" s="1460" t="e">
        <v>#REF!</v>
      </c>
    </row>
    <row r="47" spans="1:26" ht="12.75">
      <c r="A47" s="1122"/>
      <c r="B47" s="1125">
        <v>21</v>
      </c>
      <c r="C47" s="364" t="s">
        <v>794</v>
      </c>
      <c r="D47" s="364" t="s">
        <v>836</v>
      </c>
      <c r="E47" s="364" t="s">
        <v>853</v>
      </c>
      <c r="F47" s="365">
        <v>2008</v>
      </c>
      <c r="G47" s="365">
        <v>28</v>
      </c>
      <c r="H47" s="366">
        <v>1.4421430056679436</v>
      </c>
      <c r="I47" s="1126">
        <v>1.4421430056679436</v>
      </c>
      <c r="J47" s="366">
        <v>0</v>
      </c>
      <c r="K47" s="367">
        <v>0</v>
      </c>
      <c r="L47" s="367">
        <v>0</v>
      </c>
      <c r="M47" s="367">
        <v>0</v>
      </c>
      <c r="N47" s="368">
        <v>0</v>
      </c>
      <c r="O47" s="367">
        <v>0</v>
      </c>
      <c r="P47" s="369">
        <v>0.7218614610370627</v>
      </c>
      <c r="Q47" s="369">
        <v>0.720281544630881</v>
      </c>
      <c r="R47" s="369">
        <v>0</v>
      </c>
      <c r="S47" s="368">
        <v>0</v>
      </c>
      <c r="T47" s="1458" t="s">
        <v>879</v>
      </c>
      <c r="U47" s="1459" t="e">
        <v>#REF!</v>
      </c>
      <c r="V47" s="1459" t="e">
        <v>#REF!</v>
      </c>
      <c r="W47" s="1459" t="e">
        <v>#REF!</v>
      </c>
      <c r="X47" s="1459" t="e">
        <v>#REF!</v>
      </c>
      <c r="Y47" s="1459" t="e">
        <v>#REF!</v>
      </c>
      <c r="Z47" s="1460" t="e">
        <v>#REF!</v>
      </c>
    </row>
    <row r="48" spans="2:26" ht="12.75">
      <c r="B48" s="1125">
        <v>22</v>
      </c>
      <c r="C48" s="364" t="s">
        <v>956</v>
      </c>
      <c r="D48" s="364" t="s">
        <v>713</v>
      </c>
      <c r="E48" s="364" t="s">
        <v>853</v>
      </c>
      <c r="F48" s="365">
        <v>2007</v>
      </c>
      <c r="G48" s="365">
        <v>22</v>
      </c>
      <c r="H48" s="366">
        <v>0.5268916959983416</v>
      </c>
      <c r="I48" s="1126">
        <v>0.5268916959983416</v>
      </c>
      <c r="J48" s="366">
        <v>0</v>
      </c>
      <c r="K48" s="367">
        <v>0</v>
      </c>
      <c r="L48" s="367">
        <v>0</v>
      </c>
      <c r="M48" s="367">
        <v>0</v>
      </c>
      <c r="N48" s="368">
        <v>0</v>
      </c>
      <c r="O48" s="367">
        <v>0.5268916959983416</v>
      </c>
      <c r="P48" s="369">
        <v>0</v>
      </c>
      <c r="Q48" s="369">
        <v>0</v>
      </c>
      <c r="R48" s="369">
        <v>0</v>
      </c>
      <c r="S48" s="368">
        <v>0</v>
      </c>
      <c r="T48" s="1458" t="s">
        <v>943</v>
      </c>
      <c r="U48" s="1459" t="e">
        <v>#REF!</v>
      </c>
      <c r="V48" s="1459" t="e">
        <v>#REF!</v>
      </c>
      <c r="W48" s="1459" t="e">
        <v>#REF!</v>
      </c>
      <c r="X48" s="1459" t="e">
        <v>#REF!</v>
      </c>
      <c r="Y48" s="1459" t="e">
        <v>#REF!</v>
      </c>
      <c r="Z48" s="1460" t="e">
        <v>#REF!</v>
      </c>
    </row>
    <row r="49" spans="2:26" ht="12.75">
      <c r="B49" s="1125">
        <v>23</v>
      </c>
      <c r="C49" s="364" t="s">
        <v>944</v>
      </c>
      <c r="D49" s="364" t="s">
        <v>813</v>
      </c>
      <c r="E49" s="364" t="s">
        <v>710</v>
      </c>
      <c r="F49" s="365">
        <v>2011</v>
      </c>
      <c r="G49" s="365">
        <v>58</v>
      </c>
      <c r="H49" s="366">
        <v>2.0555728397519175</v>
      </c>
      <c r="I49" s="1126">
        <v>2.0555728397519175</v>
      </c>
      <c r="J49" s="366">
        <v>0</v>
      </c>
      <c r="K49" s="367">
        <v>0</v>
      </c>
      <c r="L49" s="367">
        <v>0</v>
      </c>
      <c r="M49" s="367">
        <v>0</v>
      </c>
      <c r="N49" s="368">
        <v>0</v>
      </c>
      <c r="O49" s="367">
        <v>0</v>
      </c>
      <c r="P49" s="369">
        <v>0</v>
      </c>
      <c r="Q49" s="369">
        <v>1.028973635186973</v>
      </c>
      <c r="R49" s="369">
        <v>1.0265992045649444</v>
      </c>
      <c r="S49" s="368">
        <v>0</v>
      </c>
      <c r="T49" s="1458" t="s">
        <v>945</v>
      </c>
      <c r="U49" s="1459" t="e">
        <v>#REF!</v>
      </c>
      <c r="V49" s="1459" t="e">
        <v>#REF!</v>
      </c>
      <c r="W49" s="1459" t="e">
        <v>#REF!</v>
      </c>
      <c r="X49" s="1459" t="e">
        <v>#REF!</v>
      </c>
      <c r="Y49" s="1459" t="e">
        <v>#REF!</v>
      </c>
      <c r="Z49" s="1460" t="e">
        <v>#REF!</v>
      </c>
    </row>
    <row r="50" spans="2:26" ht="12.75">
      <c r="B50" s="1125">
        <v>24</v>
      </c>
      <c r="C50" s="364" t="s">
        <v>886</v>
      </c>
      <c r="D50" s="364" t="s">
        <v>813</v>
      </c>
      <c r="E50" s="364" t="s">
        <v>714</v>
      </c>
      <c r="F50" s="365">
        <v>2013</v>
      </c>
      <c r="G50" s="365">
        <v>170</v>
      </c>
      <c r="H50" s="366">
        <v>12.901953590954676</v>
      </c>
      <c r="I50" s="1126">
        <v>12.901953590954676</v>
      </c>
      <c r="J50" s="366">
        <v>0</v>
      </c>
      <c r="K50" s="367">
        <v>0</v>
      </c>
      <c r="L50" s="367">
        <v>0</v>
      </c>
      <c r="M50" s="367">
        <v>0</v>
      </c>
      <c r="N50" s="368">
        <v>0</v>
      </c>
      <c r="O50" s="367">
        <v>0</v>
      </c>
      <c r="P50" s="369">
        <v>2.4749535806985006</v>
      </c>
      <c r="Q50" s="369">
        <v>2.4695367244487354</v>
      </c>
      <c r="R50" s="369">
        <v>2.463838090955867</v>
      </c>
      <c r="S50" s="368">
        <v>5.493625194851573</v>
      </c>
      <c r="T50" s="1458" t="s">
        <v>887</v>
      </c>
      <c r="U50" s="1459" t="e">
        <v>#REF!</v>
      </c>
      <c r="V50" s="1459" t="e">
        <v>#REF!</v>
      </c>
      <c r="W50" s="1459" t="e">
        <v>#REF!</v>
      </c>
      <c r="X50" s="1459" t="e">
        <v>#REF!</v>
      </c>
      <c r="Y50" s="1459" t="e">
        <v>#REF!</v>
      </c>
      <c r="Z50" s="1460" t="e">
        <v>#REF!</v>
      </c>
    </row>
    <row r="51" spans="2:26" ht="12.75">
      <c r="B51" s="1125">
        <v>25</v>
      </c>
      <c r="C51" s="364" t="s">
        <v>806</v>
      </c>
      <c r="D51" s="364" t="s">
        <v>713</v>
      </c>
      <c r="E51" s="364" t="s">
        <v>710</v>
      </c>
      <c r="F51" s="365">
        <v>2011</v>
      </c>
      <c r="G51" s="365">
        <v>5</v>
      </c>
      <c r="H51" s="366">
        <v>0.2057947270373946</v>
      </c>
      <c r="I51" s="1126">
        <v>0.2057947270373946</v>
      </c>
      <c r="J51" s="366">
        <v>0</v>
      </c>
      <c r="K51" s="367">
        <v>0</v>
      </c>
      <c r="L51" s="367">
        <v>0</v>
      </c>
      <c r="M51" s="367">
        <v>0</v>
      </c>
      <c r="N51" s="368">
        <v>0</v>
      </c>
      <c r="O51" s="367">
        <v>0</v>
      </c>
      <c r="P51" s="369">
        <v>0</v>
      </c>
      <c r="Q51" s="369">
        <v>0.2057947270373946</v>
      </c>
      <c r="R51" s="369">
        <v>0</v>
      </c>
      <c r="S51" s="368">
        <v>0</v>
      </c>
      <c r="T51" s="1458" t="s">
        <v>804</v>
      </c>
      <c r="U51" s="1459" t="e">
        <v>#REF!</v>
      </c>
      <c r="V51" s="1459" t="e">
        <v>#REF!</v>
      </c>
      <c r="W51" s="1459" t="e">
        <v>#REF!</v>
      </c>
      <c r="X51" s="1459" t="e">
        <v>#REF!</v>
      </c>
      <c r="Y51" s="1459" t="e">
        <v>#REF!</v>
      </c>
      <c r="Z51" s="1460" t="e">
        <v>#REF!</v>
      </c>
    </row>
    <row r="52" spans="2:26" ht="12.75">
      <c r="B52" s="1125">
        <v>26</v>
      </c>
      <c r="C52" s="364" t="s">
        <v>805</v>
      </c>
      <c r="D52" s="364" t="s">
        <v>836</v>
      </c>
      <c r="E52" s="364" t="s">
        <v>853</v>
      </c>
      <c r="F52" s="365">
        <v>2009</v>
      </c>
      <c r="G52" s="365">
        <v>43</v>
      </c>
      <c r="H52" s="366">
        <v>0.9281075927619378</v>
      </c>
      <c r="I52" s="1126">
        <v>0.9281075927619378</v>
      </c>
      <c r="J52" s="366">
        <v>0</v>
      </c>
      <c r="K52" s="367">
        <v>0</v>
      </c>
      <c r="L52" s="367">
        <v>0</v>
      </c>
      <c r="M52" s="367">
        <v>0</v>
      </c>
      <c r="N52" s="368">
        <v>0</v>
      </c>
      <c r="O52" s="367">
        <v>0</v>
      </c>
      <c r="P52" s="369">
        <v>0.9281075927619378</v>
      </c>
      <c r="Q52" s="369">
        <v>0</v>
      </c>
      <c r="R52" s="369">
        <v>0</v>
      </c>
      <c r="S52" s="368">
        <v>0</v>
      </c>
      <c r="T52" s="1458" t="s">
        <v>689</v>
      </c>
      <c r="U52" s="1459" t="e">
        <v>#REF!</v>
      </c>
      <c r="V52" s="1459" t="e">
        <v>#REF!</v>
      </c>
      <c r="W52" s="1459" t="e">
        <v>#REF!</v>
      </c>
      <c r="X52" s="1459" t="e">
        <v>#REF!</v>
      </c>
      <c r="Y52" s="1459" t="e">
        <v>#REF!</v>
      </c>
      <c r="Z52" s="1460" t="e">
        <v>#REF!</v>
      </c>
    </row>
    <row r="53" spans="2:26" ht="12.75">
      <c r="B53" s="1125">
        <v>27</v>
      </c>
      <c r="C53" s="364" t="s">
        <v>820</v>
      </c>
      <c r="D53" s="364" t="s">
        <v>813</v>
      </c>
      <c r="E53" s="364" t="s">
        <v>714</v>
      </c>
      <c r="F53" s="365">
        <v>2009</v>
      </c>
      <c r="G53" s="365">
        <v>56.75</v>
      </c>
      <c r="H53" s="366">
        <v>0.8430267135973468</v>
      </c>
      <c r="I53" s="1126">
        <v>0.8430267135973468</v>
      </c>
      <c r="J53" s="366">
        <v>0</v>
      </c>
      <c r="K53" s="367">
        <v>0</v>
      </c>
      <c r="L53" s="367">
        <v>0</v>
      </c>
      <c r="M53" s="367">
        <v>0</v>
      </c>
      <c r="N53" s="368">
        <v>0</v>
      </c>
      <c r="O53" s="367">
        <v>0.8430267135973468</v>
      </c>
      <c r="P53" s="369">
        <v>0</v>
      </c>
      <c r="Q53" s="369">
        <v>0</v>
      </c>
      <c r="R53" s="369">
        <v>0</v>
      </c>
      <c r="S53" s="368">
        <v>0</v>
      </c>
      <c r="T53" s="1458" t="s">
        <v>821</v>
      </c>
      <c r="U53" s="1459" t="e">
        <v>#REF!</v>
      </c>
      <c r="V53" s="1459" t="e">
        <v>#REF!</v>
      </c>
      <c r="W53" s="1459" t="e">
        <v>#REF!</v>
      </c>
      <c r="X53" s="1459" t="e">
        <v>#REF!</v>
      </c>
      <c r="Y53" s="1459" t="e">
        <v>#REF!</v>
      </c>
      <c r="Z53" s="1460" t="e">
        <v>#REF!</v>
      </c>
    </row>
    <row r="54" spans="2:26" ht="12.75">
      <c r="B54" s="1125">
        <v>28</v>
      </c>
      <c r="C54" s="364" t="s">
        <v>822</v>
      </c>
      <c r="D54" s="364" t="s">
        <v>836</v>
      </c>
      <c r="E54" s="364" t="s">
        <v>714</v>
      </c>
      <c r="F54" s="365">
        <v>2010</v>
      </c>
      <c r="G54" s="365">
        <v>39</v>
      </c>
      <c r="H54" s="366">
        <v>5.9634182587179625</v>
      </c>
      <c r="I54" s="1126">
        <v>5.9634182587179625</v>
      </c>
      <c r="J54" s="366">
        <v>0</v>
      </c>
      <c r="K54" s="367">
        <v>0</v>
      </c>
      <c r="L54" s="367">
        <v>0</v>
      </c>
      <c r="M54" s="367">
        <v>0</v>
      </c>
      <c r="N54" s="368">
        <v>0</v>
      </c>
      <c r="O54" s="367">
        <v>0</v>
      </c>
      <c r="P54" s="369">
        <v>1.0312306586243754</v>
      </c>
      <c r="Q54" s="369">
        <v>1.9550499068552485</v>
      </c>
      <c r="R54" s="369">
        <v>2.9771376932383387</v>
      </c>
      <c r="S54" s="368">
        <v>0</v>
      </c>
      <c r="T54" s="1458" t="s">
        <v>823</v>
      </c>
      <c r="U54" s="1459" t="e">
        <v>#REF!</v>
      </c>
      <c r="V54" s="1459" t="e">
        <v>#REF!</v>
      </c>
      <c r="W54" s="1459" t="e">
        <v>#REF!</v>
      </c>
      <c r="X54" s="1459" t="e">
        <v>#REF!</v>
      </c>
      <c r="Y54" s="1459" t="e">
        <v>#REF!</v>
      </c>
      <c r="Z54" s="1460" t="e">
        <v>#REF!</v>
      </c>
    </row>
    <row r="55" spans="2:26" ht="12.75">
      <c r="B55" s="1125">
        <v>29</v>
      </c>
      <c r="C55" s="364" t="s">
        <v>824</v>
      </c>
      <c r="D55" s="364" t="s">
        <v>713</v>
      </c>
      <c r="E55" s="364" t="s">
        <v>915</v>
      </c>
      <c r="F55" s="365">
        <v>2008</v>
      </c>
      <c r="G55" s="365">
        <v>10</v>
      </c>
      <c r="H55" s="366">
        <v>0.2062461317248751</v>
      </c>
      <c r="I55" s="1126">
        <v>0.2062461317248751</v>
      </c>
      <c r="J55" s="366">
        <v>0</v>
      </c>
      <c r="K55" s="367">
        <v>0</v>
      </c>
      <c r="L55" s="367">
        <v>0</v>
      </c>
      <c r="M55" s="367">
        <v>0</v>
      </c>
      <c r="N55" s="368">
        <v>0</v>
      </c>
      <c r="O55" s="367">
        <v>0</v>
      </c>
      <c r="P55" s="369">
        <v>0.2062461317248751</v>
      </c>
      <c r="Q55" s="369">
        <v>0</v>
      </c>
      <c r="R55" s="369">
        <v>0</v>
      </c>
      <c r="S55" s="368">
        <v>0</v>
      </c>
      <c r="T55" s="1458" t="s">
        <v>825</v>
      </c>
      <c r="U55" s="1459" t="e">
        <v>#REF!</v>
      </c>
      <c r="V55" s="1459" t="e">
        <v>#REF!</v>
      </c>
      <c r="W55" s="1459" t="e">
        <v>#REF!</v>
      </c>
      <c r="X55" s="1459" t="e">
        <v>#REF!</v>
      </c>
      <c r="Y55" s="1459" t="e">
        <v>#REF!</v>
      </c>
      <c r="Z55" s="1460" t="e">
        <v>#REF!</v>
      </c>
    </row>
    <row r="56" spans="2:26" ht="12.75">
      <c r="B56" s="1125">
        <v>30</v>
      </c>
      <c r="C56" s="364" t="s">
        <v>826</v>
      </c>
      <c r="D56" s="364" t="s">
        <v>713</v>
      </c>
      <c r="E56" s="364" t="s">
        <v>714</v>
      </c>
      <c r="F56" s="365">
        <v>2007</v>
      </c>
      <c r="G56" s="365">
        <v>12</v>
      </c>
      <c r="H56" s="366">
        <v>0.31613501759900503</v>
      </c>
      <c r="I56" s="1126">
        <v>0.31613501759900503</v>
      </c>
      <c r="J56" s="366">
        <v>0</v>
      </c>
      <c r="K56" s="367">
        <v>0</v>
      </c>
      <c r="L56" s="367">
        <v>0</v>
      </c>
      <c r="M56" s="367">
        <v>0</v>
      </c>
      <c r="N56" s="368">
        <v>0</v>
      </c>
      <c r="O56" s="367">
        <v>0.31613501759900503</v>
      </c>
      <c r="P56" s="369">
        <v>0</v>
      </c>
      <c r="Q56" s="369">
        <v>0</v>
      </c>
      <c r="R56" s="369">
        <v>0</v>
      </c>
      <c r="S56" s="368">
        <v>0</v>
      </c>
      <c r="T56" s="1458" t="s">
        <v>904</v>
      </c>
      <c r="U56" s="1459" t="e">
        <v>#REF!</v>
      </c>
      <c r="V56" s="1459" t="e">
        <v>#REF!</v>
      </c>
      <c r="W56" s="1459" t="e">
        <v>#REF!</v>
      </c>
      <c r="X56" s="1459" t="e">
        <v>#REF!</v>
      </c>
      <c r="Y56" s="1459" t="e">
        <v>#REF!</v>
      </c>
      <c r="Z56" s="1460" t="e">
        <v>#REF!</v>
      </c>
    </row>
    <row r="57" spans="2:26" ht="12.75">
      <c r="B57" s="1125">
        <v>31</v>
      </c>
      <c r="C57" s="364" t="s">
        <v>962</v>
      </c>
      <c r="D57" s="364" t="s">
        <v>813</v>
      </c>
      <c r="E57" s="364" t="s">
        <v>915</v>
      </c>
      <c r="F57" s="365">
        <v>2010</v>
      </c>
      <c r="G57" s="365">
        <v>13</v>
      </c>
      <c r="H57" s="366">
        <v>2.0602042938113483</v>
      </c>
      <c r="I57" s="1126">
        <v>2.0602042938113483</v>
      </c>
      <c r="J57" s="366">
        <v>0</v>
      </c>
      <c r="K57" s="367">
        <v>0</v>
      </c>
      <c r="L57" s="367">
        <v>0</v>
      </c>
      <c r="M57" s="367">
        <v>0</v>
      </c>
      <c r="N57" s="368">
        <v>0</v>
      </c>
      <c r="O57" s="367">
        <v>0</v>
      </c>
      <c r="P57" s="369">
        <v>1.0312306586243754</v>
      </c>
      <c r="Q57" s="369">
        <v>1.028973635186973</v>
      </c>
      <c r="R57" s="369">
        <v>0</v>
      </c>
      <c r="S57" s="368">
        <v>0</v>
      </c>
      <c r="T57" s="1458" t="s">
        <v>905</v>
      </c>
      <c r="U57" s="1459" t="e">
        <v>#REF!</v>
      </c>
      <c r="V57" s="1459" t="e">
        <v>#REF!</v>
      </c>
      <c r="W57" s="1459" t="e">
        <v>#REF!</v>
      </c>
      <c r="X57" s="1459" t="e">
        <v>#REF!</v>
      </c>
      <c r="Y57" s="1459" t="e">
        <v>#REF!</v>
      </c>
      <c r="Z57" s="1460" t="e">
        <v>#REF!</v>
      </c>
    </row>
    <row r="58" spans="2:26" ht="12.75">
      <c r="B58" s="1125">
        <v>32</v>
      </c>
      <c r="C58" s="364" t="s">
        <v>906</v>
      </c>
      <c r="D58" s="364" t="s">
        <v>713</v>
      </c>
      <c r="E58" s="364" t="s">
        <v>714</v>
      </c>
      <c r="F58" s="365">
        <v>2010</v>
      </c>
      <c r="G58" s="365">
        <v>6.5</v>
      </c>
      <c r="H58" s="366">
        <v>0.5201258759866493</v>
      </c>
      <c r="I58" s="1126">
        <v>0.5201258759866493</v>
      </c>
      <c r="J58" s="366">
        <v>0</v>
      </c>
      <c r="K58" s="367">
        <v>0</v>
      </c>
      <c r="L58" s="367">
        <v>0</v>
      </c>
      <c r="M58" s="367">
        <v>0</v>
      </c>
      <c r="N58" s="368">
        <v>0</v>
      </c>
      <c r="O58" s="367">
        <v>0.2107566783993367</v>
      </c>
      <c r="P58" s="369">
        <v>0.30936919758731257</v>
      </c>
      <c r="Q58" s="369">
        <v>0</v>
      </c>
      <c r="R58" s="369">
        <v>0</v>
      </c>
      <c r="S58" s="368">
        <v>0</v>
      </c>
      <c r="T58" s="1458" t="s">
        <v>907</v>
      </c>
      <c r="U58" s="1459" t="e">
        <v>#REF!</v>
      </c>
      <c r="V58" s="1459" t="e">
        <v>#REF!</v>
      </c>
      <c r="W58" s="1459" t="e">
        <v>#REF!</v>
      </c>
      <c r="X58" s="1459" t="e">
        <v>#REF!</v>
      </c>
      <c r="Y58" s="1459" t="e">
        <v>#REF!</v>
      </c>
      <c r="Z58" s="1460" t="e">
        <v>#REF!</v>
      </c>
    </row>
    <row r="59" spans="2:26" ht="12.75">
      <c r="B59" s="1125">
        <v>33</v>
      </c>
      <c r="C59" s="364" t="s">
        <v>908</v>
      </c>
      <c r="D59" s="364" t="s">
        <v>713</v>
      </c>
      <c r="E59" s="364" t="s">
        <v>714</v>
      </c>
      <c r="F59" s="365">
        <v>2008</v>
      </c>
      <c r="G59" s="365">
        <v>5</v>
      </c>
      <c r="H59" s="366">
        <v>0.30797976136948335</v>
      </c>
      <c r="I59" s="1126">
        <v>0.30797976136948335</v>
      </c>
      <c r="J59" s="366">
        <v>0</v>
      </c>
      <c r="K59" s="367">
        <v>0</v>
      </c>
      <c r="L59" s="367">
        <v>0</v>
      </c>
      <c r="M59" s="367">
        <v>0</v>
      </c>
      <c r="N59" s="368">
        <v>0</v>
      </c>
      <c r="O59" s="367">
        <v>0</v>
      </c>
      <c r="P59" s="369">
        <v>0</v>
      </c>
      <c r="Q59" s="369">
        <v>0</v>
      </c>
      <c r="R59" s="369">
        <v>0.30797976136948335</v>
      </c>
      <c r="S59" s="368">
        <v>0</v>
      </c>
      <c r="T59" s="1458" t="s">
        <v>909</v>
      </c>
      <c r="U59" s="1459" t="e">
        <v>#REF!</v>
      </c>
      <c r="V59" s="1459" t="e">
        <v>#REF!</v>
      </c>
      <c r="W59" s="1459" t="e">
        <v>#REF!</v>
      </c>
      <c r="X59" s="1459" t="e">
        <v>#REF!</v>
      </c>
      <c r="Y59" s="1459" t="e">
        <v>#REF!</v>
      </c>
      <c r="Z59" s="1460" t="e">
        <v>#REF!</v>
      </c>
    </row>
    <row r="60" spans="2:26" ht="12.75">
      <c r="B60" s="1125">
        <v>34</v>
      </c>
      <c r="C60" s="364" t="s">
        <v>910</v>
      </c>
      <c r="D60" s="364" t="s">
        <v>713</v>
      </c>
      <c r="E60" s="364" t="s">
        <v>710</v>
      </c>
      <c r="F60" s="365">
        <v>2009</v>
      </c>
      <c r="G60" s="365">
        <v>28</v>
      </c>
      <c r="H60" s="366">
        <v>2.988311886573286</v>
      </c>
      <c r="I60" s="1126">
        <v>2.988311886573286</v>
      </c>
      <c r="J60" s="366">
        <v>0</v>
      </c>
      <c r="K60" s="367">
        <v>0</v>
      </c>
      <c r="L60" s="367">
        <v>0</v>
      </c>
      <c r="M60" s="367">
        <v>0</v>
      </c>
      <c r="N60" s="368">
        <v>0</v>
      </c>
      <c r="O60" s="367">
        <v>0</v>
      </c>
      <c r="P60" s="369">
        <v>1.959338251386313</v>
      </c>
      <c r="Q60" s="369">
        <v>1.028973635186973</v>
      </c>
      <c r="R60" s="369">
        <v>0</v>
      </c>
      <c r="S60" s="368">
        <v>0</v>
      </c>
      <c r="T60" s="1458" t="s">
        <v>911</v>
      </c>
      <c r="U60" s="1459" t="e">
        <v>#REF!</v>
      </c>
      <c r="V60" s="1459" t="e">
        <v>#REF!</v>
      </c>
      <c r="W60" s="1459" t="e">
        <v>#REF!</v>
      </c>
      <c r="X60" s="1459" t="e">
        <v>#REF!</v>
      </c>
      <c r="Y60" s="1459" t="e">
        <v>#REF!</v>
      </c>
      <c r="Z60" s="1460" t="e">
        <v>#REF!</v>
      </c>
    </row>
    <row r="61" spans="2:26" ht="12.75">
      <c r="B61" s="1125">
        <v>35</v>
      </c>
      <c r="C61" s="364" t="s">
        <v>912</v>
      </c>
      <c r="D61" s="364" t="s">
        <v>813</v>
      </c>
      <c r="E61" s="364" t="s">
        <v>710</v>
      </c>
      <c r="F61" s="365">
        <v>2010</v>
      </c>
      <c r="G61" s="365">
        <v>51</v>
      </c>
      <c r="H61" s="366">
        <v>1.9550499068552485</v>
      </c>
      <c r="I61" s="1126">
        <v>1.9550499068552485</v>
      </c>
      <c r="J61" s="366">
        <v>0</v>
      </c>
      <c r="K61" s="367">
        <v>0</v>
      </c>
      <c r="L61" s="367">
        <v>0</v>
      </c>
      <c r="M61" s="367">
        <v>0</v>
      </c>
      <c r="N61" s="368">
        <v>0</v>
      </c>
      <c r="O61" s="367">
        <v>0</v>
      </c>
      <c r="P61" s="369">
        <v>0</v>
      </c>
      <c r="Q61" s="369">
        <v>1.9550499068552485</v>
      </c>
      <c r="R61" s="369">
        <v>0</v>
      </c>
      <c r="S61" s="368">
        <v>0</v>
      </c>
      <c r="T61" s="1458" t="s">
        <v>845</v>
      </c>
      <c r="U61" s="1459" t="e">
        <v>#REF!</v>
      </c>
      <c r="V61" s="1459" t="e">
        <v>#REF!</v>
      </c>
      <c r="W61" s="1459" t="e">
        <v>#REF!</v>
      </c>
      <c r="X61" s="1459" t="e">
        <v>#REF!</v>
      </c>
      <c r="Y61" s="1459" t="e">
        <v>#REF!</v>
      </c>
      <c r="Z61" s="1460" t="e">
        <v>#REF!</v>
      </c>
    </row>
    <row r="62" spans="2:26" ht="12.75">
      <c r="B62" s="1125">
        <v>36</v>
      </c>
      <c r="C62" s="364" t="s">
        <v>846</v>
      </c>
      <c r="D62" s="364" t="s">
        <v>713</v>
      </c>
      <c r="E62" s="364" t="s">
        <v>853</v>
      </c>
      <c r="F62" s="365">
        <v>2008</v>
      </c>
      <c r="G62" s="365">
        <v>20</v>
      </c>
      <c r="H62" s="366">
        <v>0.30936919758731257</v>
      </c>
      <c r="I62" s="1126">
        <v>0.30936919758731257</v>
      </c>
      <c r="J62" s="366">
        <v>0</v>
      </c>
      <c r="K62" s="367">
        <v>0</v>
      </c>
      <c r="L62" s="367">
        <v>0</v>
      </c>
      <c r="M62" s="367">
        <v>0</v>
      </c>
      <c r="N62" s="368">
        <v>0</v>
      </c>
      <c r="O62" s="367">
        <v>0</v>
      </c>
      <c r="P62" s="369">
        <v>0.30936919758731257</v>
      </c>
      <c r="Q62" s="369">
        <v>0</v>
      </c>
      <c r="R62" s="369">
        <v>0</v>
      </c>
      <c r="S62" s="368">
        <v>0</v>
      </c>
      <c r="T62" s="1458" t="s">
        <v>11</v>
      </c>
      <c r="U62" s="1459" t="e">
        <v>#REF!</v>
      </c>
      <c r="V62" s="1459" t="e">
        <v>#REF!</v>
      </c>
      <c r="W62" s="1459" t="e">
        <v>#REF!</v>
      </c>
      <c r="X62" s="1459" t="e">
        <v>#REF!</v>
      </c>
      <c r="Y62" s="1459" t="e">
        <v>#REF!</v>
      </c>
      <c r="Z62" s="1460" t="e">
        <v>#REF!</v>
      </c>
    </row>
    <row r="63" spans="2:26" ht="12.75">
      <c r="B63" s="1125">
        <v>37</v>
      </c>
      <c r="C63" s="364" t="s">
        <v>12</v>
      </c>
      <c r="D63" s="364" t="s">
        <v>813</v>
      </c>
      <c r="E63" s="364" t="s">
        <v>710</v>
      </c>
      <c r="F63" s="365">
        <v>2012</v>
      </c>
      <c r="G63" s="365">
        <v>100</v>
      </c>
      <c r="H63" s="366">
        <v>6.105611177163569</v>
      </c>
      <c r="I63" s="1126">
        <v>6.105611177163569</v>
      </c>
      <c r="J63" s="366">
        <v>0</v>
      </c>
      <c r="K63" s="367">
        <v>0</v>
      </c>
      <c r="L63" s="367">
        <v>0</v>
      </c>
      <c r="M63" s="367">
        <v>0</v>
      </c>
      <c r="N63" s="368">
        <v>0</v>
      </c>
      <c r="O63" s="367">
        <v>0</v>
      </c>
      <c r="P63" s="369">
        <v>0</v>
      </c>
      <c r="Q63" s="369">
        <v>0</v>
      </c>
      <c r="R63" s="369">
        <v>1.0265992045649444</v>
      </c>
      <c r="S63" s="368">
        <v>5.079011972598624</v>
      </c>
      <c r="T63" s="1458" t="s">
        <v>857</v>
      </c>
      <c r="U63" s="1459" t="e">
        <v>#REF!</v>
      </c>
      <c r="V63" s="1459" t="e">
        <v>#REF!</v>
      </c>
      <c r="W63" s="1459" t="e">
        <v>#REF!</v>
      </c>
      <c r="X63" s="1459" t="e">
        <v>#REF!</v>
      </c>
      <c r="Y63" s="1459" t="e">
        <v>#REF!</v>
      </c>
      <c r="Z63" s="1460" t="e">
        <v>#REF!</v>
      </c>
    </row>
    <row r="64" spans="2:26" ht="12.75">
      <c r="B64" s="1125">
        <v>38</v>
      </c>
      <c r="C64" s="364" t="s">
        <v>858</v>
      </c>
      <c r="D64" s="364" t="s">
        <v>813</v>
      </c>
      <c r="E64" s="364" t="s">
        <v>710</v>
      </c>
      <c r="F64" s="365">
        <v>2011</v>
      </c>
      <c r="G64" s="365">
        <v>100</v>
      </c>
      <c r="H64" s="366">
        <v>2.996012010266451</v>
      </c>
      <c r="I64" s="1126">
        <v>2.996012010266451</v>
      </c>
      <c r="J64" s="366">
        <v>0</v>
      </c>
      <c r="K64" s="367">
        <v>0</v>
      </c>
      <c r="L64" s="367">
        <v>0</v>
      </c>
      <c r="M64" s="367">
        <v>0</v>
      </c>
      <c r="N64" s="368">
        <v>0</v>
      </c>
      <c r="O64" s="367">
        <v>0</v>
      </c>
      <c r="P64" s="369">
        <v>0</v>
      </c>
      <c r="Q64" s="369">
        <v>0</v>
      </c>
      <c r="R64" s="369">
        <v>1.0265992045649444</v>
      </c>
      <c r="S64" s="368">
        <v>1.969412805701507</v>
      </c>
      <c r="T64" s="1458" t="s">
        <v>859</v>
      </c>
      <c r="U64" s="1459" t="e">
        <v>#REF!</v>
      </c>
      <c r="V64" s="1459" t="e">
        <v>#REF!</v>
      </c>
      <c r="W64" s="1459" t="e">
        <v>#REF!</v>
      </c>
      <c r="X64" s="1459" t="e">
        <v>#REF!</v>
      </c>
      <c r="Y64" s="1459" t="e">
        <v>#REF!</v>
      </c>
      <c r="Z64" s="1460" t="e">
        <v>#REF!</v>
      </c>
    </row>
    <row r="65" spans="2:26" ht="12.75">
      <c r="B65" s="1125">
        <v>39</v>
      </c>
      <c r="C65" s="364" t="s">
        <v>860</v>
      </c>
      <c r="D65" s="364" t="s">
        <v>713</v>
      </c>
      <c r="E65" s="364" t="s">
        <v>710</v>
      </c>
      <c r="F65" s="365">
        <v>2008</v>
      </c>
      <c r="G65" s="365">
        <v>5</v>
      </c>
      <c r="H65" s="366">
        <v>0.2057947270373946</v>
      </c>
      <c r="I65" s="1126">
        <v>0.2057947270373946</v>
      </c>
      <c r="J65" s="366">
        <v>0</v>
      </c>
      <c r="K65" s="367">
        <v>0</v>
      </c>
      <c r="L65" s="367">
        <v>0</v>
      </c>
      <c r="M65" s="367">
        <v>0</v>
      </c>
      <c r="N65" s="368">
        <v>0</v>
      </c>
      <c r="O65" s="367">
        <v>0</v>
      </c>
      <c r="P65" s="369">
        <v>0</v>
      </c>
      <c r="Q65" s="369">
        <v>0.2057947270373946</v>
      </c>
      <c r="R65" s="369">
        <v>0</v>
      </c>
      <c r="S65" s="368">
        <v>0</v>
      </c>
      <c r="T65" s="1458" t="s">
        <v>856</v>
      </c>
      <c r="U65" s="1459" t="e">
        <v>#REF!</v>
      </c>
      <c r="V65" s="1459" t="e">
        <v>#REF!</v>
      </c>
      <c r="W65" s="1459" t="e">
        <v>#REF!</v>
      </c>
      <c r="X65" s="1459" t="e">
        <v>#REF!</v>
      </c>
      <c r="Y65" s="1459" t="e">
        <v>#REF!</v>
      </c>
      <c r="Z65" s="1460" t="e">
        <v>#REF!</v>
      </c>
    </row>
    <row r="66" spans="2:26" ht="12.75">
      <c r="B66" s="1125">
        <v>40</v>
      </c>
      <c r="C66" s="364" t="s">
        <v>752</v>
      </c>
      <c r="D66" s="364" t="s">
        <v>713</v>
      </c>
      <c r="E66" s="364" t="s">
        <v>714</v>
      </c>
      <c r="F66" s="365">
        <v>2007</v>
      </c>
      <c r="G66" s="365">
        <v>14.25</v>
      </c>
      <c r="H66" s="366">
        <v>0.9314896277176983</v>
      </c>
      <c r="I66" s="1126">
        <v>0.9314896277176983</v>
      </c>
      <c r="J66" s="366">
        <v>0</v>
      </c>
      <c r="K66" s="367">
        <v>0</v>
      </c>
      <c r="L66" s="367">
        <v>0</v>
      </c>
      <c r="M66" s="367">
        <v>0</v>
      </c>
      <c r="N66" s="368">
        <v>0</v>
      </c>
      <c r="O66" s="367">
        <v>0.2107566783993367</v>
      </c>
      <c r="P66" s="369">
        <v>0.2062461317248751</v>
      </c>
      <c r="Q66" s="369">
        <v>0.5144868175934865</v>
      </c>
      <c r="R66" s="369">
        <v>0</v>
      </c>
      <c r="S66" s="368">
        <v>0</v>
      </c>
      <c r="T66" s="1458" t="s">
        <v>753</v>
      </c>
      <c r="U66" s="1459" t="e">
        <v>#REF!</v>
      </c>
      <c r="V66" s="1459" t="e">
        <v>#REF!</v>
      </c>
      <c r="W66" s="1459" t="e">
        <v>#REF!</v>
      </c>
      <c r="X66" s="1459" t="e">
        <v>#REF!</v>
      </c>
      <c r="Y66" s="1459" t="e">
        <v>#REF!</v>
      </c>
      <c r="Z66" s="1460" t="e">
        <v>#REF!</v>
      </c>
    </row>
    <row r="67" spans="2:26" ht="12.75">
      <c r="B67" s="1125">
        <v>41</v>
      </c>
      <c r="C67" s="364" t="s">
        <v>758</v>
      </c>
      <c r="D67" s="364" t="s">
        <v>713</v>
      </c>
      <c r="E67" s="364" t="s">
        <v>714</v>
      </c>
      <c r="F67" s="365">
        <v>2007</v>
      </c>
      <c r="G67" s="365">
        <v>24</v>
      </c>
      <c r="H67" s="366">
        <v>0.7376483743976783</v>
      </c>
      <c r="I67" s="1126">
        <v>0.7376483743976783</v>
      </c>
      <c r="J67" s="366">
        <v>0</v>
      </c>
      <c r="K67" s="367">
        <v>0</v>
      </c>
      <c r="L67" s="367">
        <v>0</v>
      </c>
      <c r="M67" s="367">
        <v>0</v>
      </c>
      <c r="N67" s="368">
        <v>0</v>
      </c>
      <c r="O67" s="367">
        <v>0.7376483743976783</v>
      </c>
      <c r="P67" s="369">
        <v>0</v>
      </c>
      <c r="Q67" s="369">
        <v>0</v>
      </c>
      <c r="R67" s="369">
        <v>0</v>
      </c>
      <c r="S67" s="368">
        <v>0</v>
      </c>
      <c r="T67" s="1458" t="s">
        <v>862</v>
      </c>
      <c r="U67" s="1459" t="e">
        <v>#REF!</v>
      </c>
      <c r="V67" s="1459" t="e">
        <v>#REF!</v>
      </c>
      <c r="W67" s="1459" t="e">
        <v>#REF!</v>
      </c>
      <c r="X67" s="1459" t="e">
        <v>#REF!</v>
      </c>
      <c r="Y67" s="1459" t="e">
        <v>#REF!</v>
      </c>
      <c r="Z67" s="1460" t="e">
        <v>#REF!</v>
      </c>
    </row>
    <row r="68" spans="2:26" ht="12.75">
      <c r="B68" s="1125">
        <v>42</v>
      </c>
      <c r="C68" s="364" t="s">
        <v>863</v>
      </c>
      <c r="D68" s="364" t="s">
        <v>713</v>
      </c>
      <c r="E68" s="364" t="s">
        <v>853</v>
      </c>
      <c r="F68" s="365">
        <v>2007</v>
      </c>
      <c r="G68" s="365">
        <v>21</v>
      </c>
      <c r="H68" s="366">
        <v>2.0850140506210586</v>
      </c>
      <c r="I68" s="1126">
        <v>2.0850140506210586</v>
      </c>
      <c r="J68" s="366">
        <v>0</v>
      </c>
      <c r="K68" s="367">
        <v>0</v>
      </c>
      <c r="L68" s="367">
        <v>0</v>
      </c>
      <c r="M68" s="367">
        <v>0</v>
      </c>
      <c r="N68" s="368">
        <v>0</v>
      </c>
      <c r="O68" s="367">
        <v>1.0537833919966832</v>
      </c>
      <c r="P68" s="369">
        <v>1.0312306586243754</v>
      </c>
      <c r="Q68" s="369">
        <v>0</v>
      </c>
      <c r="R68" s="369">
        <v>0</v>
      </c>
      <c r="S68" s="368">
        <v>0</v>
      </c>
      <c r="T68" s="1458" t="s">
        <v>864</v>
      </c>
      <c r="U68" s="1459" t="e">
        <v>#REF!</v>
      </c>
      <c r="V68" s="1459" t="e">
        <v>#REF!</v>
      </c>
      <c r="W68" s="1459" t="e">
        <v>#REF!</v>
      </c>
      <c r="X68" s="1459" t="e">
        <v>#REF!</v>
      </c>
      <c r="Y68" s="1459" t="e">
        <v>#REF!</v>
      </c>
      <c r="Z68" s="1460" t="e">
        <v>#REF!</v>
      </c>
    </row>
    <row r="69" spans="2:26" ht="12.75">
      <c r="B69" s="1125">
        <v>43</v>
      </c>
      <c r="C69" s="364" t="s">
        <v>865</v>
      </c>
      <c r="D69" s="364" t="s">
        <v>836</v>
      </c>
      <c r="E69" s="364" t="s">
        <v>714</v>
      </c>
      <c r="F69" s="365">
        <v>2008</v>
      </c>
      <c r="G69" s="365">
        <v>14.25</v>
      </c>
      <c r="H69" s="366">
        <v>3.0334191034180735</v>
      </c>
      <c r="I69" s="1126">
        <v>3.0334191034180735</v>
      </c>
      <c r="J69" s="366">
        <v>0</v>
      </c>
      <c r="K69" s="367">
        <v>0</v>
      </c>
      <c r="L69" s="367">
        <v>0</v>
      </c>
      <c r="M69" s="367">
        <v>0</v>
      </c>
      <c r="N69" s="368">
        <v>0</v>
      </c>
      <c r="O69" s="367">
        <v>2.002188444793698</v>
      </c>
      <c r="P69" s="369">
        <v>1.0312306586243754</v>
      </c>
      <c r="Q69" s="369">
        <v>0</v>
      </c>
      <c r="R69" s="369">
        <v>0</v>
      </c>
      <c r="S69" s="368">
        <v>0</v>
      </c>
      <c r="T69" s="1458" t="s">
        <v>866</v>
      </c>
      <c r="U69" s="1459" t="e">
        <v>#REF!</v>
      </c>
      <c r="V69" s="1459" t="e">
        <v>#REF!</v>
      </c>
      <c r="W69" s="1459" t="e">
        <v>#REF!</v>
      </c>
      <c r="X69" s="1459" t="e">
        <v>#REF!</v>
      </c>
      <c r="Y69" s="1459" t="e">
        <v>#REF!</v>
      </c>
      <c r="Z69" s="1460" t="e">
        <v>#REF!</v>
      </c>
    </row>
    <row r="70" spans="2:26" ht="12.75">
      <c r="B70" s="1125">
        <v>44</v>
      </c>
      <c r="C70" s="364" t="s">
        <v>867</v>
      </c>
      <c r="D70" s="364" t="s">
        <v>813</v>
      </c>
      <c r="E70" s="364" t="s">
        <v>714</v>
      </c>
      <c r="F70" s="365">
        <v>2013</v>
      </c>
      <c r="G70" s="365">
        <v>78</v>
      </c>
      <c r="H70" s="366">
        <v>1.0365330556323722</v>
      </c>
      <c r="I70" s="1126">
        <v>1.0365330556323722</v>
      </c>
      <c r="J70" s="366">
        <v>0</v>
      </c>
      <c r="K70" s="367">
        <v>0</v>
      </c>
      <c r="L70" s="367">
        <v>0</v>
      </c>
      <c r="M70" s="367">
        <v>0</v>
      </c>
      <c r="N70" s="368">
        <v>0</v>
      </c>
      <c r="O70" s="367">
        <v>0</v>
      </c>
      <c r="P70" s="369">
        <v>0</v>
      </c>
      <c r="Q70" s="369">
        <v>0</v>
      </c>
      <c r="R70" s="369">
        <v>0</v>
      </c>
      <c r="S70" s="368">
        <v>1.0365330556323722</v>
      </c>
      <c r="T70" s="1458" t="s">
        <v>932</v>
      </c>
      <c r="U70" s="1459" t="e">
        <v>#REF!</v>
      </c>
      <c r="V70" s="1459" t="e">
        <v>#REF!</v>
      </c>
      <c r="W70" s="1459" t="e">
        <v>#REF!</v>
      </c>
      <c r="X70" s="1459" t="e">
        <v>#REF!</v>
      </c>
      <c r="Y70" s="1459" t="e">
        <v>#REF!</v>
      </c>
      <c r="Z70" s="1460" t="e">
        <v>#REF!</v>
      </c>
    </row>
    <row r="71" spans="2:26" ht="12.75">
      <c r="B71" s="1125">
        <v>45</v>
      </c>
      <c r="C71" s="364" t="s">
        <v>933</v>
      </c>
      <c r="D71" s="364" t="s">
        <v>713</v>
      </c>
      <c r="E71" s="364" t="s">
        <v>853</v>
      </c>
      <c r="F71" s="365">
        <v>2010</v>
      </c>
      <c r="G71" s="365">
        <v>41</v>
      </c>
      <c r="H71" s="366">
        <v>0.41262645203946335</v>
      </c>
      <c r="I71" s="1126">
        <v>0.41262645203946335</v>
      </c>
      <c r="J71" s="366">
        <v>0</v>
      </c>
      <c r="K71" s="367">
        <v>0</v>
      </c>
      <c r="L71" s="367">
        <v>0</v>
      </c>
      <c r="M71" s="367">
        <v>0</v>
      </c>
      <c r="N71" s="368">
        <v>0</v>
      </c>
      <c r="O71" s="367">
        <v>0</v>
      </c>
      <c r="P71" s="369">
        <v>0</v>
      </c>
      <c r="Q71" s="369">
        <v>0</v>
      </c>
      <c r="R71" s="369">
        <v>0.2053198409129889</v>
      </c>
      <c r="S71" s="368">
        <v>0.20730661112647447</v>
      </c>
      <c r="T71" s="1458" t="s">
        <v>935</v>
      </c>
      <c r="U71" s="1459" t="e">
        <v>#REF!</v>
      </c>
      <c r="V71" s="1459" t="e">
        <v>#REF!</v>
      </c>
      <c r="W71" s="1459" t="e">
        <v>#REF!</v>
      </c>
      <c r="X71" s="1459" t="e">
        <v>#REF!</v>
      </c>
      <c r="Y71" s="1459" t="e">
        <v>#REF!</v>
      </c>
      <c r="Z71" s="1460" t="e">
        <v>#REF!</v>
      </c>
    </row>
    <row r="72" spans="2:26" ht="12.75">
      <c r="B72" s="1125">
        <v>46</v>
      </c>
      <c r="C72" s="364" t="s">
        <v>936</v>
      </c>
      <c r="D72" s="364" t="s">
        <v>713</v>
      </c>
      <c r="E72" s="364" t="s">
        <v>853</v>
      </c>
      <c r="F72" s="365">
        <v>2010</v>
      </c>
      <c r="G72" s="365">
        <v>11</v>
      </c>
      <c r="H72" s="366">
        <v>0.30936919758731257</v>
      </c>
      <c r="I72" s="1126">
        <v>0.30936919758731257</v>
      </c>
      <c r="J72" s="366">
        <v>0</v>
      </c>
      <c r="K72" s="367">
        <v>0</v>
      </c>
      <c r="L72" s="367">
        <v>0</v>
      </c>
      <c r="M72" s="367">
        <v>0</v>
      </c>
      <c r="N72" s="368">
        <v>0</v>
      </c>
      <c r="O72" s="367">
        <v>0</v>
      </c>
      <c r="P72" s="369">
        <v>0.30936919758731257</v>
      </c>
      <c r="Q72" s="369">
        <v>0</v>
      </c>
      <c r="R72" s="369">
        <v>0</v>
      </c>
      <c r="S72" s="368">
        <v>0</v>
      </c>
      <c r="T72" s="1458" t="s">
        <v>937</v>
      </c>
      <c r="U72" s="1459" t="e">
        <v>#REF!</v>
      </c>
      <c r="V72" s="1459" t="e">
        <v>#REF!</v>
      </c>
      <c r="W72" s="1459" t="e">
        <v>#REF!</v>
      </c>
      <c r="X72" s="1459" t="e">
        <v>#REF!</v>
      </c>
      <c r="Y72" s="1459" t="e">
        <v>#REF!</v>
      </c>
      <c r="Z72" s="1460" t="e">
        <v>#REF!</v>
      </c>
    </row>
    <row r="73" spans="2:26" ht="12.75">
      <c r="B73" s="1125">
        <v>47</v>
      </c>
      <c r="C73" s="364" t="s">
        <v>938</v>
      </c>
      <c r="D73" s="364" t="s">
        <v>813</v>
      </c>
      <c r="E73" s="364" t="s">
        <v>714</v>
      </c>
      <c r="F73" s="365">
        <v>2007</v>
      </c>
      <c r="G73" s="365">
        <v>39</v>
      </c>
      <c r="H73" s="366">
        <v>2.5290801407920402</v>
      </c>
      <c r="I73" s="1126">
        <v>2.5290801407920402</v>
      </c>
      <c r="J73" s="366">
        <v>0</v>
      </c>
      <c r="K73" s="367">
        <v>0</v>
      </c>
      <c r="L73" s="367">
        <v>0</v>
      </c>
      <c r="M73" s="367">
        <v>0</v>
      </c>
      <c r="N73" s="368">
        <v>0</v>
      </c>
      <c r="O73" s="367">
        <v>2.5290801407920402</v>
      </c>
      <c r="P73" s="369">
        <v>0</v>
      </c>
      <c r="Q73" s="369">
        <v>0</v>
      </c>
      <c r="R73" s="369">
        <v>0</v>
      </c>
      <c r="S73" s="368">
        <v>0</v>
      </c>
      <c r="T73" s="1458" t="s">
        <v>939</v>
      </c>
      <c r="U73" s="1459" t="e">
        <v>#REF!</v>
      </c>
      <c r="V73" s="1459" t="e">
        <v>#REF!</v>
      </c>
      <c r="W73" s="1459" t="e">
        <v>#REF!</v>
      </c>
      <c r="X73" s="1459" t="e">
        <v>#REF!</v>
      </c>
      <c r="Y73" s="1459" t="e">
        <v>#REF!</v>
      </c>
      <c r="Z73" s="1460" t="e">
        <v>#REF!</v>
      </c>
    </row>
    <row r="74" spans="2:26" ht="12.75">
      <c r="B74" s="1125">
        <v>48</v>
      </c>
      <c r="C74" s="364" t="s">
        <v>940</v>
      </c>
      <c r="D74" s="364" t="s">
        <v>836</v>
      </c>
      <c r="E74" s="364" t="s">
        <v>710</v>
      </c>
      <c r="F74" s="365">
        <v>2008</v>
      </c>
      <c r="G74" s="365">
        <v>12</v>
      </c>
      <c r="H74" s="366">
        <v>0.9281075927619378</v>
      </c>
      <c r="I74" s="1126">
        <v>0.9281075927619378</v>
      </c>
      <c r="J74" s="366">
        <v>0</v>
      </c>
      <c r="K74" s="367">
        <v>0</v>
      </c>
      <c r="L74" s="367">
        <v>0</v>
      </c>
      <c r="M74" s="367">
        <v>0</v>
      </c>
      <c r="N74" s="368">
        <v>0</v>
      </c>
      <c r="O74" s="367">
        <v>0</v>
      </c>
      <c r="P74" s="369">
        <v>0.9281075927619378</v>
      </c>
      <c r="Q74" s="369">
        <v>0</v>
      </c>
      <c r="R74" s="369">
        <v>0</v>
      </c>
      <c r="S74" s="368">
        <v>0</v>
      </c>
      <c r="T74" s="1458" t="s">
        <v>941</v>
      </c>
      <c r="U74" s="1459" t="e">
        <v>#REF!</v>
      </c>
      <c r="V74" s="1459" t="e">
        <v>#REF!</v>
      </c>
      <c r="W74" s="1459" t="e">
        <v>#REF!</v>
      </c>
      <c r="X74" s="1459" t="e">
        <v>#REF!</v>
      </c>
      <c r="Y74" s="1459" t="e">
        <v>#REF!</v>
      </c>
      <c r="Z74" s="1460" t="e">
        <v>#REF!</v>
      </c>
    </row>
    <row r="75" spans="2:26" ht="12.75">
      <c r="B75" s="1125">
        <v>49</v>
      </c>
      <c r="C75" s="364" t="s">
        <v>942</v>
      </c>
      <c r="D75" s="364" t="s">
        <v>813</v>
      </c>
      <c r="E75" s="364" t="s">
        <v>710</v>
      </c>
      <c r="F75" s="365">
        <v>2010</v>
      </c>
      <c r="G75" s="365">
        <v>19</v>
      </c>
      <c r="H75" s="366">
        <v>0.5156153293121877</v>
      </c>
      <c r="I75" s="1126">
        <v>0.5156153293121877</v>
      </c>
      <c r="J75" s="366">
        <v>0</v>
      </c>
      <c r="K75" s="367">
        <v>0</v>
      </c>
      <c r="L75" s="367">
        <v>0</v>
      </c>
      <c r="M75" s="367">
        <v>0</v>
      </c>
      <c r="N75" s="368">
        <v>0</v>
      </c>
      <c r="O75" s="367">
        <v>0</v>
      </c>
      <c r="P75" s="369">
        <v>0.5156153293121877</v>
      </c>
      <c r="Q75" s="369">
        <v>0</v>
      </c>
      <c r="R75" s="369">
        <v>0</v>
      </c>
      <c r="S75" s="368">
        <v>0</v>
      </c>
      <c r="T75" s="1458" t="s">
        <v>924</v>
      </c>
      <c r="U75" s="1459" t="e">
        <v>#REF!</v>
      </c>
      <c r="V75" s="1459" t="e">
        <v>#REF!</v>
      </c>
      <c r="W75" s="1459" t="e">
        <v>#REF!</v>
      </c>
      <c r="X75" s="1459" t="e">
        <v>#REF!</v>
      </c>
      <c r="Y75" s="1459" t="e">
        <v>#REF!</v>
      </c>
      <c r="Z75" s="1460" t="e">
        <v>#REF!</v>
      </c>
    </row>
    <row r="76" spans="2:26" ht="12.75">
      <c r="B76" s="1125">
        <v>50</v>
      </c>
      <c r="C76" s="364" t="s">
        <v>925</v>
      </c>
      <c r="D76" s="364" t="s">
        <v>813</v>
      </c>
      <c r="E76" s="364" t="s">
        <v>710</v>
      </c>
      <c r="F76" s="365">
        <v>2010</v>
      </c>
      <c r="G76" s="365">
        <v>100</v>
      </c>
      <c r="H76" s="366">
        <v>5.96116123528056</v>
      </c>
      <c r="I76" s="1126">
        <v>5.96116123528056</v>
      </c>
      <c r="J76" s="366">
        <v>0</v>
      </c>
      <c r="K76" s="367">
        <v>0</v>
      </c>
      <c r="L76" s="367">
        <v>0</v>
      </c>
      <c r="M76" s="367">
        <v>0</v>
      </c>
      <c r="N76" s="368">
        <v>0</v>
      </c>
      <c r="O76" s="367">
        <v>0</v>
      </c>
      <c r="P76" s="369">
        <v>0</v>
      </c>
      <c r="Q76" s="369">
        <v>2.984023542042221</v>
      </c>
      <c r="R76" s="369">
        <v>2.9771376932383387</v>
      </c>
      <c r="S76" s="368">
        <v>0</v>
      </c>
      <c r="T76" s="1458" t="s">
        <v>926</v>
      </c>
      <c r="U76" s="1459" t="e">
        <v>#REF!</v>
      </c>
      <c r="V76" s="1459" t="e">
        <v>#REF!</v>
      </c>
      <c r="W76" s="1459" t="e">
        <v>#REF!</v>
      </c>
      <c r="X76" s="1459" t="e">
        <v>#REF!</v>
      </c>
      <c r="Y76" s="1459" t="e">
        <v>#REF!</v>
      </c>
      <c r="Z76" s="1460" t="e">
        <v>#REF!</v>
      </c>
    </row>
    <row r="77" spans="2:26" ht="12.75">
      <c r="B77" s="1125">
        <v>51</v>
      </c>
      <c r="C77" s="364" t="s">
        <v>927</v>
      </c>
      <c r="D77" s="364" t="s">
        <v>713</v>
      </c>
      <c r="E77" s="364" t="s">
        <v>915</v>
      </c>
      <c r="F77" s="365">
        <v>2012</v>
      </c>
      <c r="G77" s="365">
        <v>6</v>
      </c>
      <c r="H77" s="366">
        <v>0.1028973635186973</v>
      </c>
      <c r="I77" s="1126">
        <v>0.1028973635186973</v>
      </c>
      <c r="J77" s="366">
        <v>0</v>
      </c>
      <c r="K77" s="367">
        <v>0</v>
      </c>
      <c r="L77" s="367">
        <v>0</v>
      </c>
      <c r="M77" s="367">
        <v>0</v>
      </c>
      <c r="N77" s="368">
        <v>0</v>
      </c>
      <c r="O77" s="367">
        <v>0</v>
      </c>
      <c r="P77" s="369">
        <v>0</v>
      </c>
      <c r="Q77" s="369">
        <v>0.1028973635186973</v>
      </c>
      <c r="R77" s="369">
        <v>0</v>
      </c>
      <c r="S77" s="368">
        <v>0</v>
      </c>
      <c r="T77" s="1458" t="s">
        <v>928</v>
      </c>
      <c r="U77" s="1459" t="e">
        <v>#REF!</v>
      </c>
      <c r="V77" s="1459" t="e">
        <v>#REF!</v>
      </c>
      <c r="W77" s="1459" t="e">
        <v>#REF!</v>
      </c>
      <c r="X77" s="1459" t="e">
        <v>#REF!</v>
      </c>
      <c r="Y77" s="1459" t="e">
        <v>#REF!</v>
      </c>
      <c r="Z77" s="1460" t="e">
        <v>#REF!</v>
      </c>
    </row>
    <row r="78" spans="2:26" ht="12.75">
      <c r="B78" s="1125">
        <v>52</v>
      </c>
      <c r="C78" s="364" t="s">
        <v>929</v>
      </c>
      <c r="D78" s="364" t="s">
        <v>836</v>
      </c>
      <c r="E78" s="364" t="s">
        <v>710</v>
      </c>
      <c r="F78" s="365">
        <v>2007</v>
      </c>
      <c r="G78" s="365">
        <v>3</v>
      </c>
      <c r="H78" s="366">
        <v>0.31613501759900503</v>
      </c>
      <c r="I78" s="1126">
        <v>0.31613501759900503</v>
      </c>
      <c r="J78" s="366">
        <v>0</v>
      </c>
      <c r="K78" s="367">
        <v>0</v>
      </c>
      <c r="L78" s="367">
        <v>0</v>
      </c>
      <c r="M78" s="367">
        <v>0</v>
      </c>
      <c r="N78" s="368">
        <v>0</v>
      </c>
      <c r="O78" s="367">
        <v>0.31613501759900503</v>
      </c>
      <c r="P78" s="369">
        <v>0</v>
      </c>
      <c r="Q78" s="369">
        <v>0</v>
      </c>
      <c r="R78" s="369">
        <v>0</v>
      </c>
      <c r="S78" s="368">
        <v>0</v>
      </c>
      <c r="T78" s="1458" t="s">
        <v>807</v>
      </c>
      <c r="U78" s="1459" t="e">
        <v>#REF!</v>
      </c>
      <c r="V78" s="1459" t="e">
        <v>#REF!</v>
      </c>
      <c r="W78" s="1459" t="e">
        <v>#REF!</v>
      </c>
      <c r="X78" s="1459" t="e">
        <v>#REF!</v>
      </c>
      <c r="Y78" s="1459" t="e">
        <v>#REF!</v>
      </c>
      <c r="Z78" s="1460" t="e">
        <v>#REF!</v>
      </c>
    </row>
    <row r="79" spans="2:26" ht="12.75">
      <c r="B79" s="1125">
        <v>53</v>
      </c>
      <c r="C79" s="364" t="s">
        <v>808</v>
      </c>
      <c r="D79" s="364" t="s">
        <v>836</v>
      </c>
      <c r="E79" s="364" t="s">
        <v>710</v>
      </c>
      <c r="F79" s="365">
        <v>2008</v>
      </c>
      <c r="G79" s="365">
        <v>10</v>
      </c>
      <c r="H79" s="366">
        <v>1.2645400703960201</v>
      </c>
      <c r="I79" s="1126">
        <v>1.2645400703960201</v>
      </c>
      <c r="J79" s="366">
        <v>0</v>
      </c>
      <c r="K79" s="367">
        <v>0</v>
      </c>
      <c r="L79" s="367">
        <v>0</v>
      </c>
      <c r="M79" s="367">
        <v>0</v>
      </c>
      <c r="N79" s="368">
        <v>0</v>
      </c>
      <c r="O79" s="367">
        <v>1.2645400703960201</v>
      </c>
      <c r="P79" s="369">
        <v>0</v>
      </c>
      <c r="Q79" s="369">
        <v>0</v>
      </c>
      <c r="R79" s="369">
        <v>0</v>
      </c>
      <c r="S79" s="368">
        <v>0</v>
      </c>
      <c r="T79" s="1458" t="s">
        <v>809</v>
      </c>
      <c r="U79" s="1459" t="e">
        <v>#REF!</v>
      </c>
      <c r="V79" s="1459" t="e">
        <v>#REF!</v>
      </c>
      <c r="W79" s="1459" t="e">
        <v>#REF!</v>
      </c>
      <c r="X79" s="1459" t="e">
        <v>#REF!</v>
      </c>
      <c r="Y79" s="1459" t="e">
        <v>#REF!</v>
      </c>
      <c r="Z79" s="1460" t="e">
        <v>#REF!</v>
      </c>
    </row>
    <row r="80" spans="2:26" ht="12.75">
      <c r="B80" s="1125">
        <v>54</v>
      </c>
      <c r="C80" s="364" t="s">
        <v>819</v>
      </c>
      <c r="D80" s="364" t="s">
        <v>713</v>
      </c>
      <c r="E80" s="364" t="s">
        <v>710</v>
      </c>
      <c r="F80" s="365">
        <v>2013</v>
      </c>
      <c r="G80" s="365">
        <v>6.5</v>
      </c>
      <c r="H80" s="366">
        <v>0.5132996022824722</v>
      </c>
      <c r="I80" s="1126">
        <v>0.5132996022824722</v>
      </c>
      <c r="J80" s="366">
        <v>0</v>
      </c>
      <c r="K80" s="367">
        <v>0</v>
      </c>
      <c r="L80" s="367">
        <v>0</v>
      </c>
      <c r="M80" s="367">
        <v>0</v>
      </c>
      <c r="N80" s="368">
        <v>0</v>
      </c>
      <c r="O80" s="367">
        <v>0</v>
      </c>
      <c r="P80" s="369">
        <v>0</v>
      </c>
      <c r="Q80" s="369">
        <v>0</v>
      </c>
      <c r="R80" s="369">
        <v>0.5132996022824722</v>
      </c>
      <c r="S80" s="368">
        <v>0</v>
      </c>
      <c r="T80" s="1458" t="s">
        <v>896</v>
      </c>
      <c r="U80" s="1459" t="e">
        <v>#REF!</v>
      </c>
      <c r="V80" s="1459" t="e">
        <v>#REF!</v>
      </c>
      <c r="W80" s="1459" t="e">
        <v>#REF!</v>
      </c>
      <c r="X80" s="1459" t="e">
        <v>#REF!</v>
      </c>
      <c r="Y80" s="1459" t="e">
        <v>#REF!</v>
      </c>
      <c r="Z80" s="1460" t="e">
        <v>#REF!</v>
      </c>
    </row>
    <row r="81" spans="2:26" ht="12.75">
      <c r="B81" s="1125">
        <v>55</v>
      </c>
      <c r="C81" s="364" t="s">
        <v>897</v>
      </c>
      <c r="D81" s="364" t="s">
        <v>713</v>
      </c>
      <c r="E81" s="364" t="s">
        <v>853</v>
      </c>
      <c r="F81" s="365">
        <v>2012</v>
      </c>
      <c r="G81" s="365">
        <v>10</v>
      </c>
      <c r="H81" s="366">
        <v>1.5547995834485584</v>
      </c>
      <c r="I81" s="1126">
        <v>1.5547995834485584</v>
      </c>
      <c r="J81" s="366">
        <v>0</v>
      </c>
      <c r="K81" s="367">
        <v>0</v>
      </c>
      <c r="L81" s="367">
        <v>0</v>
      </c>
      <c r="M81" s="367">
        <v>0</v>
      </c>
      <c r="N81" s="368">
        <v>0</v>
      </c>
      <c r="O81" s="367">
        <v>0</v>
      </c>
      <c r="P81" s="369">
        <v>0</v>
      </c>
      <c r="Q81" s="369">
        <v>0</v>
      </c>
      <c r="R81" s="369">
        <v>0</v>
      </c>
      <c r="S81" s="368">
        <v>1.5547995834485584</v>
      </c>
      <c r="T81" s="1458" t="s">
        <v>898</v>
      </c>
      <c r="U81" s="1459" t="e">
        <v>#REF!</v>
      </c>
      <c r="V81" s="1459" t="e">
        <v>#REF!</v>
      </c>
      <c r="W81" s="1459" t="e">
        <v>#REF!</v>
      </c>
      <c r="X81" s="1459" t="e">
        <v>#REF!</v>
      </c>
      <c r="Y81" s="1459" t="e">
        <v>#REF!</v>
      </c>
      <c r="Z81" s="1460" t="e">
        <v>#REF!</v>
      </c>
    </row>
    <row r="82" spans="2:26" ht="12.75">
      <c r="B82" s="1125">
        <v>56</v>
      </c>
      <c r="C82" s="364" t="s">
        <v>899</v>
      </c>
      <c r="D82" s="364" t="s">
        <v>713</v>
      </c>
      <c r="E82" s="364" t="s">
        <v>714</v>
      </c>
      <c r="F82" s="365">
        <v>2008</v>
      </c>
      <c r="G82" s="365">
        <v>39</v>
      </c>
      <c r="H82" s="366">
        <v>7.921627998385574</v>
      </c>
      <c r="I82" s="1126">
        <v>7.921627998385574</v>
      </c>
      <c r="J82" s="366">
        <v>0</v>
      </c>
      <c r="K82" s="367">
        <v>0</v>
      </c>
      <c r="L82" s="367">
        <v>0</v>
      </c>
      <c r="M82" s="367">
        <v>0</v>
      </c>
      <c r="N82" s="368">
        <v>0</v>
      </c>
      <c r="O82" s="367">
        <v>0</v>
      </c>
      <c r="P82" s="369">
        <v>2.4749535806985006</v>
      </c>
      <c r="Q82" s="369">
        <v>2.4695367244487354</v>
      </c>
      <c r="R82" s="369">
        <v>2.9771376932383387</v>
      </c>
      <c r="S82" s="368">
        <v>0</v>
      </c>
      <c r="T82" s="1458" t="s">
        <v>900</v>
      </c>
      <c r="U82" s="1459" t="e">
        <v>#REF!</v>
      </c>
      <c r="V82" s="1459" t="e">
        <v>#REF!</v>
      </c>
      <c r="W82" s="1459" t="e">
        <v>#REF!</v>
      </c>
      <c r="X82" s="1459" t="e">
        <v>#REF!</v>
      </c>
      <c r="Y82" s="1459" t="e">
        <v>#REF!</v>
      </c>
      <c r="Z82" s="1460" t="e">
        <v>#REF!</v>
      </c>
    </row>
    <row r="83" spans="2:26" ht="12.75">
      <c r="B83" s="1125">
        <v>57</v>
      </c>
      <c r="C83" s="364" t="s">
        <v>901</v>
      </c>
      <c r="D83" s="364" t="s">
        <v>813</v>
      </c>
      <c r="E83" s="364" t="s">
        <v>710</v>
      </c>
      <c r="F83" s="365">
        <v>2012</v>
      </c>
      <c r="G83" s="365">
        <v>240</v>
      </c>
      <c r="H83" s="366">
        <v>3.0059458613338794</v>
      </c>
      <c r="I83" s="1126">
        <v>3.0059458613338794</v>
      </c>
      <c r="J83" s="366">
        <v>0</v>
      </c>
      <c r="K83" s="367">
        <v>0</v>
      </c>
      <c r="L83" s="367">
        <v>0</v>
      </c>
      <c r="M83" s="367">
        <v>0</v>
      </c>
      <c r="N83" s="368">
        <v>0</v>
      </c>
      <c r="O83" s="367">
        <v>0</v>
      </c>
      <c r="P83" s="369">
        <v>0</v>
      </c>
      <c r="Q83" s="369">
        <v>0</v>
      </c>
      <c r="R83" s="369">
        <v>0</v>
      </c>
      <c r="S83" s="368">
        <v>3.0059458613338794</v>
      </c>
      <c r="T83" s="1458" t="s">
        <v>902</v>
      </c>
      <c r="U83" s="1459" t="e">
        <v>#REF!</v>
      </c>
      <c r="V83" s="1459" t="e">
        <v>#REF!</v>
      </c>
      <c r="W83" s="1459" t="e">
        <v>#REF!</v>
      </c>
      <c r="X83" s="1459" t="e">
        <v>#REF!</v>
      </c>
      <c r="Y83" s="1459" t="e">
        <v>#REF!</v>
      </c>
      <c r="Z83" s="1460" t="e">
        <v>#REF!</v>
      </c>
    </row>
    <row r="84" spans="2:26" ht="12.75">
      <c r="B84" s="1125">
        <v>58</v>
      </c>
      <c r="C84" s="364" t="s">
        <v>903</v>
      </c>
      <c r="D84" s="364" t="s">
        <v>813</v>
      </c>
      <c r="E84" s="364" t="s">
        <v>714</v>
      </c>
      <c r="F84" s="365">
        <v>2011</v>
      </c>
      <c r="G84" s="365">
        <v>39</v>
      </c>
      <c r="H84" s="366">
        <v>2.0555728397519175</v>
      </c>
      <c r="I84" s="1126">
        <v>2.0555728397519175</v>
      </c>
      <c r="J84" s="366">
        <v>0</v>
      </c>
      <c r="K84" s="367">
        <v>0</v>
      </c>
      <c r="L84" s="367">
        <v>0</v>
      </c>
      <c r="M84" s="367">
        <v>0</v>
      </c>
      <c r="N84" s="368">
        <v>0</v>
      </c>
      <c r="O84" s="367">
        <v>0</v>
      </c>
      <c r="P84" s="369">
        <v>0</v>
      </c>
      <c r="Q84" s="369">
        <v>1.028973635186973</v>
      </c>
      <c r="R84" s="369">
        <v>1.0265992045649444</v>
      </c>
      <c r="S84" s="368">
        <v>0</v>
      </c>
      <c r="T84" s="1458" t="s">
        <v>13</v>
      </c>
      <c r="U84" s="1459" t="e">
        <v>#REF!</v>
      </c>
      <c r="V84" s="1459" t="e">
        <v>#REF!</v>
      </c>
      <c r="W84" s="1459" t="e">
        <v>#REF!</v>
      </c>
      <c r="X84" s="1459" t="e">
        <v>#REF!</v>
      </c>
      <c r="Y84" s="1459" t="e">
        <v>#REF!</v>
      </c>
      <c r="Z84" s="1460" t="e">
        <v>#REF!</v>
      </c>
    </row>
    <row r="85" spans="2:26" ht="12.75">
      <c r="B85" s="1125">
        <v>59</v>
      </c>
      <c r="C85" s="364" t="s">
        <v>14</v>
      </c>
      <c r="D85" s="364" t="s">
        <v>713</v>
      </c>
      <c r="E85" s="364" t="s">
        <v>714</v>
      </c>
      <c r="F85" s="365">
        <v>2014</v>
      </c>
      <c r="G85" s="365">
        <v>8.5</v>
      </c>
      <c r="H85" s="366">
        <v>1.0365330556323722</v>
      </c>
      <c r="I85" s="1126">
        <v>1.0365330556323722</v>
      </c>
      <c r="J85" s="366">
        <v>0</v>
      </c>
      <c r="K85" s="367">
        <v>0</v>
      </c>
      <c r="L85" s="367">
        <v>0</v>
      </c>
      <c r="M85" s="367">
        <v>0</v>
      </c>
      <c r="N85" s="368">
        <v>0</v>
      </c>
      <c r="O85" s="367">
        <v>0</v>
      </c>
      <c r="P85" s="369">
        <v>0</v>
      </c>
      <c r="Q85" s="369">
        <v>0</v>
      </c>
      <c r="R85" s="369">
        <v>0</v>
      </c>
      <c r="S85" s="368">
        <v>1.0365330556323722</v>
      </c>
      <c r="T85" s="1458" t="s">
        <v>963</v>
      </c>
      <c r="U85" s="1459" t="e">
        <v>#REF!</v>
      </c>
      <c r="V85" s="1459" t="e">
        <v>#REF!</v>
      </c>
      <c r="W85" s="1459" t="e">
        <v>#REF!</v>
      </c>
      <c r="X85" s="1459" t="e">
        <v>#REF!</v>
      </c>
      <c r="Y85" s="1459" t="e">
        <v>#REF!</v>
      </c>
      <c r="Z85" s="1460" t="e">
        <v>#REF!</v>
      </c>
    </row>
    <row r="86" spans="2:26" ht="12.75">
      <c r="B86" s="1125">
        <v>60</v>
      </c>
      <c r="C86" s="364" t="s">
        <v>0</v>
      </c>
      <c r="D86" s="364" t="s">
        <v>713</v>
      </c>
      <c r="E86" s="364" t="s">
        <v>1</v>
      </c>
      <c r="F86" s="365">
        <v>2008</v>
      </c>
      <c r="G86" s="365">
        <v>31</v>
      </c>
      <c r="H86" s="366">
        <v>0.8430267135973468</v>
      </c>
      <c r="I86" s="1126">
        <v>0.8430267135973468</v>
      </c>
      <c r="J86" s="366">
        <v>0</v>
      </c>
      <c r="K86" s="367">
        <v>0</v>
      </c>
      <c r="L86" s="367">
        <v>0</v>
      </c>
      <c r="M86" s="367">
        <v>0</v>
      </c>
      <c r="N86" s="368">
        <v>0</v>
      </c>
      <c r="O86" s="367">
        <v>0.8430267135973468</v>
      </c>
      <c r="P86" s="369">
        <v>0</v>
      </c>
      <c r="Q86" s="369">
        <v>0</v>
      </c>
      <c r="R86" s="369">
        <v>0</v>
      </c>
      <c r="S86" s="368">
        <v>0</v>
      </c>
      <c r="T86" s="1458" t="s">
        <v>2</v>
      </c>
      <c r="U86" s="1459" t="e">
        <v>#REF!</v>
      </c>
      <c r="V86" s="1459" t="e">
        <v>#REF!</v>
      </c>
      <c r="W86" s="1459" t="e">
        <v>#REF!</v>
      </c>
      <c r="X86" s="1459" t="e">
        <v>#REF!</v>
      </c>
      <c r="Y86" s="1459" t="e">
        <v>#REF!</v>
      </c>
      <c r="Z86" s="1460" t="e">
        <v>#REF!</v>
      </c>
    </row>
    <row r="87" spans="2:26" ht="12.75">
      <c r="B87" s="1125">
        <v>61</v>
      </c>
      <c r="C87" s="364" t="s">
        <v>3</v>
      </c>
      <c r="D87" s="364" t="s">
        <v>813</v>
      </c>
      <c r="E87" s="364" t="s">
        <v>714</v>
      </c>
      <c r="F87" s="365">
        <v>2013</v>
      </c>
      <c r="G87" s="365">
        <v>117</v>
      </c>
      <c r="H87" s="366">
        <v>3.1354746714435837</v>
      </c>
      <c r="I87" s="1126">
        <v>3.1354746714435837</v>
      </c>
      <c r="J87" s="366">
        <v>0</v>
      </c>
      <c r="K87" s="367">
        <v>0</v>
      </c>
      <c r="L87" s="367">
        <v>0</v>
      </c>
      <c r="M87" s="367">
        <v>0</v>
      </c>
      <c r="N87" s="368">
        <v>0</v>
      </c>
      <c r="O87" s="367">
        <v>1.580675087995025</v>
      </c>
      <c r="P87" s="369">
        <v>0</v>
      </c>
      <c r="Q87" s="369">
        <v>0</v>
      </c>
      <c r="R87" s="369">
        <v>0</v>
      </c>
      <c r="S87" s="368">
        <v>1.5547995834485584</v>
      </c>
      <c r="T87" s="1458" t="s">
        <v>4</v>
      </c>
      <c r="U87" s="1459" t="e">
        <v>#REF!</v>
      </c>
      <c r="V87" s="1459" t="e">
        <v>#REF!</v>
      </c>
      <c r="W87" s="1459" t="e">
        <v>#REF!</v>
      </c>
      <c r="X87" s="1459" t="e">
        <v>#REF!</v>
      </c>
      <c r="Y87" s="1459" t="e">
        <v>#REF!</v>
      </c>
      <c r="Z87" s="1460" t="e">
        <v>#REF!</v>
      </c>
    </row>
    <row r="88" spans="2:26" ht="12.75">
      <c r="B88" s="1125">
        <v>62</v>
      </c>
      <c r="C88" s="364" t="s">
        <v>5</v>
      </c>
      <c r="D88" s="364" t="s">
        <v>713</v>
      </c>
      <c r="E88" s="364" t="s">
        <v>714</v>
      </c>
      <c r="F88" s="365">
        <v>2007</v>
      </c>
      <c r="G88" s="365">
        <v>18</v>
      </c>
      <c r="H88" s="366">
        <v>1.580675087995025</v>
      </c>
      <c r="I88" s="1126">
        <v>1.580675087995025</v>
      </c>
      <c r="J88" s="366">
        <v>0</v>
      </c>
      <c r="K88" s="367">
        <v>0</v>
      </c>
      <c r="L88" s="367">
        <v>0</v>
      </c>
      <c r="M88" s="367">
        <v>0</v>
      </c>
      <c r="N88" s="368">
        <v>0</v>
      </c>
      <c r="O88" s="367">
        <v>1.580675087995025</v>
      </c>
      <c r="P88" s="369">
        <v>0</v>
      </c>
      <c r="Q88" s="369">
        <v>0</v>
      </c>
      <c r="R88" s="369">
        <v>0</v>
      </c>
      <c r="S88" s="368">
        <v>0</v>
      </c>
      <c r="T88" s="1458" t="s">
        <v>6</v>
      </c>
      <c r="U88" s="1459" t="e">
        <v>#REF!</v>
      </c>
      <c r="V88" s="1459" t="e">
        <v>#REF!</v>
      </c>
      <c r="W88" s="1459" t="e">
        <v>#REF!</v>
      </c>
      <c r="X88" s="1459" t="e">
        <v>#REF!</v>
      </c>
      <c r="Y88" s="1459" t="e">
        <v>#REF!</v>
      </c>
      <c r="Z88" s="1460" t="e">
        <v>#REF!</v>
      </c>
    </row>
    <row r="89" spans="2:26" ht="12.75">
      <c r="B89" s="1125">
        <v>63</v>
      </c>
      <c r="C89" s="364" t="s">
        <v>7</v>
      </c>
      <c r="D89" s="364" t="s">
        <v>831</v>
      </c>
      <c r="E89" s="364" t="s">
        <v>710</v>
      </c>
      <c r="F89" s="365">
        <v>2008</v>
      </c>
      <c r="G89" s="365">
        <v>4</v>
      </c>
      <c r="H89" s="366">
        <v>0.8605</v>
      </c>
      <c r="I89" s="1126">
        <v>0.8605</v>
      </c>
      <c r="J89" s="366">
        <v>0</v>
      </c>
      <c r="K89" s="367">
        <v>0</v>
      </c>
      <c r="L89" s="367">
        <v>0</v>
      </c>
      <c r="M89" s="367">
        <v>0</v>
      </c>
      <c r="N89" s="368">
        <v>0</v>
      </c>
      <c r="O89" s="367">
        <v>0.3255</v>
      </c>
      <c r="P89" s="369">
        <v>0.535</v>
      </c>
      <c r="Q89" s="369">
        <v>0</v>
      </c>
      <c r="R89" s="369">
        <v>0</v>
      </c>
      <c r="S89" s="368">
        <v>0</v>
      </c>
      <c r="T89" s="1458" t="s">
        <v>856</v>
      </c>
      <c r="U89" s="1459" t="e">
        <v>#REF!</v>
      </c>
      <c r="V89" s="1459" t="e">
        <v>#REF!</v>
      </c>
      <c r="W89" s="1459" t="e">
        <v>#REF!</v>
      </c>
      <c r="X89" s="1459" t="e">
        <v>#REF!</v>
      </c>
      <c r="Y89" s="1459" t="e">
        <v>#REF!</v>
      </c>
      <c r="Z89" s="1460" t="e">
        <v>#REF!</v>
      </c>
    </row>
    <row r="90" spans="2:26" ht="12.75">
      <c r="B90" s="1125">
        <v>64</v>
      </c>
      <c r="C90" s="364" t="s">
        <v>8</v>
      </c>
      <c r="D90" s="364" t="s">
        <v>813</v>
      </c>
      <c r="E90" s="364" t="s">
        <v>714</v>
      </c>
      <c r="F90" s="365">
        <v>2008</v>
      </c>
      <c r="G90" s="365">
        <v>54</v>
      </c>
      <c r="H90" s="366">
        <v>1.569398721308871</v>
      </c>
      <c r="I90" s="1126">
        <v>1.569398721308871</v>
      </c>
      <c r="J90" s="366">
        <v>0</v>
      </c>
      <c r="K90" s="367">
        <v>0</v>
      </c>
      <c r="L90" s="367">
        <v>0</v>
      </c>
      <c r="M90" s="367">
        <v>0</v>
      </c>
      <c r="N90" s="368">
        <v>0</v>
      </c>
      <c r="O90" s="367">
        <v>1.0537833919966832</v>
      </c>
      <c r="P90" s="369">
        <v>0.5156153293121877</v>
      </c>
      <c r="Q90" s="369">
        <v>0</v>
      </c>
      <c r="R90" s="369">
        <v>0</v>
      </c>
      <c r="S90" s="368">
        <v>0</v>
      </c>
      <c r="T90" s="1458" t="s">
        <v>9</v>
      </c>
      <c r="U90" s="1459" t="e">
        <v>#REF!</v>
      </c>
      <c r="V90" s="1459" t="e">
        <v>#REF!</v>
      </c>
      <c r="W90" s="1459" t="e">
        <v>#REF!</v>
      </c>
      <c r="X90" s="1459" t="e">
        <v>#REF!</v>
      </c>
      <c r="Y90" s="1459" t="e">
        <v>#REF!</v>
      </c>
      <c r="Z90" s="1460" t="e">
        <v>#REF!</v>
      </c>
    </row>
    <row r="91" spans="2:26" ht="12.75">
      <c r="B91" s="1125">
        <v>65</v>
      </c>
      <c r="C91" s="364" t="s">
        <v>930</v>
      </c>
      <c r="D91" s="364" t="s">
        <v>813</v>
      </c>
      <c r="E91" s="364" t="s">
        <v>714</v>
      </c>
      <c r="F91" s="365">
        <v>2011</v>
      </c>
      <c r="G91" s="365">
        <v>78</v>
      </c>
      <c r="H91" s="366">
        <v>2.059075782092647</v>
      </c>
      <c r="I91" s="1126">
        <v>2.059075782092647</v>
      </c>
      <c r="J91" s="366">
        <v>0</v>
      </c>
      <c r="K91" s="367">
        <v>0</v>
      </c>
      <c r="L91" s="367">
        <v>0</v>
      </c>
      <c r="M91" s="367">
        <v>0</v>
      </c>
      <c r="N91" s="368">
        <v>0</v>
      </c>
      <c r="O91" s="367">
        <v>0</v>
      </c>
      <c r="P91" s="369">
        <v>0.5156153293121877</v>
      </c>
      <c r="Q91" s="369">
        <v>1.5434604527804594</v>
      </c>
      <c r="R91" s="369">
        <v>0</v>
      </c>
      <c r="S91" s="368">
        <v>0</v>
      </c>
      <c r="T91" s="1458" t="s">
        <v>861</v>
      </c>
      <c r="U91" s="1459" t="e">
        <v>#REF!</v>
      </c>
      <c r="V91" s="1459" t="e">
        <v>#REF!</v>
      </c>
      <c r="W91" s="1459" t="e">
        <v>#REF!</v>
      </c>
      <c r="X91" s="1459" t="e">
        <v>#REF!</v>
      </c>
      <c r="Y91" s="1459" t="e">
        <v>#REF!</v>
      </c>
      <c r="Z91" s="1460" t="e">
        <v>#REF!</v>
      </c>
    </row>
    <row r="92" spans="2:26" ht="12.75">
      <c r="B92" s="1125">
        <v>66</v>
      </c>
      <c r="C92" s="364" t="s">
        <v>754</v>
      </c>
      <c r="D92" s="364" t="s">
        <v>713</v>
      </c>
      <c r="E92" s="364" t="s">
        <v>714</v>
      </c>
      <c r="F92" s="365">
        <v>2006</v>
      </c>
      <c r="G92" s="365">
        <v>10.5</v>
      </c>
      <c r="H92" s="366">
        <v>1.3473656762233803</v>
      </c>
      <c r="I92" s="1126">
        <v>1.3473656762233803</v>
      </c>
      <c r="J92" s="366">
        <v>0</v>
      </c>
      <c r="K92" s="367">
        <v>0</v>
      </c>
      <c r="L92" s="367">
        <v>0</v>
      </c>
      <c r="M92" s="367">
        <v>0</v>
      </c>
      <c r="N92" s="368">
        <v>0</v>
      </c>
      <c r="O92" s="367">
        <v>0.31613501759900503</v>
      </c>
      <c r="P92" s="369">
        <v>1.0312306586243754</v>
      </c>
      <c r="Q92" s="369">
        <v>0</v>
      </c>
      <c r="R92" s="369">
        <v>0</v>
      </c>
      <c r="S92" s="368">
        <v>0</v>
      </c>
      <c r="T92" s="1458" t="s">
        <v>888</v>
      </c>
      <c r="U92" s="1459" t="e">
        <v>#REF!</v>
      </c>
      <c r="V92" s="1459" t="e">
        <v>#REF!</v>
      </c>
      <c r="W92" s="1459" t="e">
        <v>#REF!</v>
      </c>
      <c r="X92" s="1459" t="e">
        <v>#REF!</v>
      </c>
      <c r="Y92" s="1459" t="e">
        <v>#REF!</v>
      </c>
      <c r="Z92" s="1460" t="e">
        <v>#REF!</v>
      </c>
    </row>
    <row r="93" spans="2:26" ht="12.75">
      <c r="B93" s="1125">
        <v>67</v>
      </c>
      <c r="C93" s="364" t="s">
        <v>889</v>
      </c>
      <c r="D93" s="364" t="s">
        <v>713</v>
      </c>
      <c r="E93" s="364" t="s">
        <v>710</v>
      </c>
      <c r="F93" s="365">
        <v>2007</v>
      </c>
      <c r="G93" s="365">
        <v>2</v>
      </c>
      <c r="H93" s="366">
        <v>0.30936919758731257</v>
      </c>
      <c r="I93" s="1126">
        <v>0.30936919758731257</v>
      </c>
      <c r="J93" s="366">
        <v>0</v>
      </c>
      <c r="K93" s="367">
        <v>0</v>
      </c>
      <c r="L93" s="367">
        <v>0</v>
      </c>
      <c r="M93" s="367">
        <v>0</v>
      </c>
      <c r="N93" s="368">
        <v>0</v>
      </c>
      <c r="O93" s="367">
        <v>0</v>
      </c>
      <c r="P93" s="369">
        <v>0.30936919758731257</v>
      </c>
      <c r="Q93" s="369">
        <v>0</v>
      </c>
      <c r="R93" s="369">
        <v>0</v>
      </c>
      <c r="S93" s="368">
        <v>0</v>
      </c>
      <c r="T93" s="1458" t="s">
        <v>890</v>
      </c>
      <c r="U93" s="1459" t="e">
        <v>#REF!</v>
      </c>
      <c r="V93" s="1459" t="e">
        <v>#REF!</v>
      </c>
      <c r="W93" s="1459" t="e">
        <v>#REF!</v>
      </c>
      <c r="X93" s="1459" t="e">
        <v>#REF!</v>
      </c>
      <c r="Y93" s="1459" t="e">
        <v>#REF!</v>
      </c>
      <c r="Z93" s="1460" t="e">
        <v>#REF!</v>
      </c>
    </row>
    <row r="94" spans="2:26" ht="12.75">
      <c r="B94" s="1125">
        <v>68</v>
      </c>
      <c r="C94" s="364" t="s">
        <v>891</v>
      </c>
      <c r="D94" s="364" t="s">
        <v>813</v>
      </c>
      <c r="E94" s="364" t="s">
        <v>915</v>
      </c>
      <c r="F94" s="365">
        <v>2010</v>
      </c>
      <c r="G94" s="365">
        <v>39</v>
      </c>
      <c r="H94" s="366">
        <v>1.028973635186973</v>
      </c>
      <c r="I94" s="1126">
        <v>1.028973635186973</v>
      </c>
      <c r="J94" s="366">
        <v>0</v>
      </c>
      <c r="K94" s="367">
        <v>0</v>
      </c>
      <c r="L94" s="367">
        <v>0</v>
      </c>
      <c r="M94" s="367">
        <v>0</v>
      </c>
      <c r="N94" s="368">
        <v>0</v>
      </c>
      <c r="O94" s="367">
        <v>0</v>
      </c>
      <c r="P94" s="369">
        <v>0</v>
      </c>
      <c r="Q94" s="369">
        <v>1.028973635186973</v>
      </c>
      <c r="R94" s="369">
        <v>0</v>
      </c>
      <c r="S94" s="368">
        <v>0</v>
      </c>
      <c r="T94" s="1458" t="s">
        <v>892</v>
      </c>
      <c r="U94" s="1459" t="e">
        <v>#REF!</v>
      </c>
      <c r="V94" s="1459" t="e">
        <v>#REF!</v>
      </c>
      <c r="W94" s="1459" t="e">
        <v>#REF!</v>
      </c>
      <c r="X94" s="1459" t="e">
        <v>#REF!</v>
      </c>
      <c r="Y94" s="1459" t="e">
        <v>#REF!</v>
      </c>
      <c r="Z94" s="1460" t="e">
        <v>#REF!</v>
      </c>
    </row>
    <row r="95" spans="2:26" ht="12.75">
      <c r="B95" s="1125">
        <v>69</v>
      </c>
      <c r="C95" s="364" t="s">
        <v>893</v>
      </c>
      <c r="D95" s="364" t="s">
        <v>713</v>
      </c>
      <c r="E95" s="364" t="s">
        <v>714</v>
      </c>
      <c r="F95" s="365">
        <v>2008</v>
      </c>
      <c r="G95" s="365">
        <v>17.5</v>
      </c>
      <c r="H95" s="366">
        <v>1.6567348738106928</v>
      </c>
      <c r="I95" s="1126">
        <v>1.6567348738106928</v>
      </c>
      <c r="J95" s="366">
        <v>0</v>
      </c>
      <c r="K95" s="367">
        <v>0</v>
      </c>
      <c r="L95" s="367">
        <v>0</v>
      </c>
      <c r="M95" s="367">
        <v>0</v>
      </c>
      <c r="N95" s="368">
        <v>0</v>
      </c>
      <c r="O95" s="367">
        <v>0.31613501759900503</v>
      </c>
      <c r="P95" s="369">
        <v>1.3405998562116879</v>
      </c>
      <c r="Q95" s="369">
        <v>0</v>
      </c>
      <c r="R95" s="369">
        <v>0</v>
      </c>
      <c r="S95" s="368">
        <v>0</v>
      </c>
      <c r="T95" s="1458" t="s">
        <v>946</v>
      </c>
      <c r="U95" s="1459" t="e">
        <v>#REF!</v>
      </c>
      <c r="V95" s="1459" t="e">
        <v>#REF!</v>
      </c>
      <c r="W95" s="1459" t="e">
        <v>#REF!</v>
      </c>
      <c r="X95" s="1459" t="e">
        <v>#REF!</v>
      </c>
      <c r="Y95" s="1459" t="e">
        <v>#REF!</v>
      </c>
      <c r="Z95" s="1460" t="e">
        <v>#REF!</v>
      </c>
    </row>
    <row r="96" spans="2:26" ht="12.75">
      <c r="B96" s="1125">
        <v>70</v>
      </c>
      <c r="C96" s="364" t="s">
        <v>947</v>
      </c>
      <c r="D96" s="364" t="s">
        <v>813</v>
      </c>
      <c r="E96" s="364" t="s">
        <v>915</v>
      </c>
      <c r="F96" s="365">
        <v>2009</v>
      </c>
      <c r="G96" s="365">
        <v>0</v>
      </c>
      <c r="H96" s="366">
        <v>0.2107566783993367</v>
      </c>
      <c r="I96" s="1126">
        <v>0.2107566783993367</v>
      </c>
      <c r="J96" s="366">
        <v>0</v>
      </c>
      <c r="K96" s="367">
        <v>0</v>
      </c>
      <c r="L96" s="367">
        <v>0</v>
      </c>
      <c r="M96" s="367">
        <v>0</v>
      </c>
      <c r="N96" s="368">
        <v>0</v>
      </c>
      <c r="O96" s="367">
        <v>0.2107566783993367</v>
      </c>
      <c r="P96" s="369">
        <v>0</v>
      </c>
      <c r="Q96" s="369">
        <v>0</v>
      </c>
      <c r="R96" s="369">
        <v>0</v>
      </c>
      <c r="S96" s="368">
        <v>0</v>
      </c>
      <c r="T96" s="1458" t="s">
        <v>948</v>
      </c>
      <c r="U96" s="1459" t="e">
        <v>#REF!</v>
      </c>
      <c r="V96" s="1459" t="e">
        <v>#REF!</v>
      </c>
      <c r="W96" s="1459" t="e">
        <v>#REF!</v>
      </c>
      <c r="X96" s="1459" t="e">
        <v>#REF!</v>
      </c>
      <c r="Y96" s="1459" t="e">
        <v>#REF!</v>
      </c>
      <c r="Z96" s="1460" t="e">
        <v>#REF!</v>
      </c>
    </row>
    <row r="97" spans="2:26" ht="12.75">
      <c r="B97" s="1125">
        <v>71</v>
      </c>
      <c r="C97" s="364" t="s">
        <v>949</v>
      </c>
      <c r="D97" s="364" t="s">
        <v>713</v>
      </c>
      <c r="E97" s="364" t="s">
        <v>950</v>
      </c>
      <c r="F97" s="365">
        <v>2010</v>
      </c>
      <c r="G97" s="365">
        <v>31</v>
      </c>
      <c r="H97" s="366">
        <v>5.4603879789772005</v>
      </c>
      <c r="I97" s="1126">
        <v>5.4603879789772005</v>
      </c>
      <c r="J97" s="366">
        <v>0</v>
      </c>
      <c r="K97" s="367">
        <v>0</v>
      </c>
      <c r="L97" s="367">
        <v>0</v>
      </c>
      <c r="M97" s="367">
        <v>0</v>
      </c>
      <c r="N97" s="368">
        <v>0</v>
      </c>
      <c r="O97" s="367">
        <v>0</v>
      </c>
      <c r="P97" s="369">
        <v>0</v>
      </c>
      <c r="Q97" s="369">
        <v>1.9550499068552485</v>
      </c>
      <c r="R97" s="369">
        <v>1.9505384886733943</v>
      </c>
      <c r="S97" s="368">
        <v>1.5547995834485584</v>
      </c>
      <c r="T97" s="1458" t="s">
        <v>951</v>
      </c>
      <c r="U97" s="1459" t="e">
        <v>#REF!</v>
      </c>
      <c r="V97" s="1459" t="e">
        <v>#REF!</v>
      </c>
      <c r="W97" s="1459" t="e">
        <v>#REF!</v>
      </c>
      <c r="X97" s="1459" t="e">
        <v>#REF!</v>
      </c>
      <c r="Y97" s="1459" t="e">
        <v>#REF!</v>
      </c>
      <c r="Z97" s="1460" t="e">
        <v>#REF!</v>
      </c>
    </row>
    <row r="98" spans="2:26" ht="12.75">
      <c r="B98" s="1125">
        <v>72</v>
      </c>
      <c r="C98" s="364" t="s">
        <v>952</v>
      </c>
      <c r="D98" s="364" t="s">
        <v>713</v>
      </c>
      <c r="E98" s="364" t="s">
        <v>953</v>
      </c>
      <c r="F98" s="365">
        <v>2007</v>
      </c>
      <c r="G98" s="365">
        <v>14</v>
      </c>
      <c r="H98" s="366">
        <v>0.41474753678698095</v>
      </c>
      <c r="I98" s="1126">
        <v>0.41474753678698095</v>
      </c>
      <c r="J98" s="366">
        <v>0</v>
      </c>
      <c r="K98" s="367">
        <v>0</v>
      </c>
      <c r="L98" s="367">
        <v>0</v>
      </c>
      <c r="M98" s="367">
        <v>0</v>
      </c>
      <c r="N98" s="368">
        <v>0</v>
      </c>
      <c r="O98" s="367">
        <v>0.10537833919966835</v>
      </c>
      <c r="P98" s="369">
        <v>0.30936919758731257</v>
      </c>
      <c r="Q98" s="369">
        <v>0</v>
      </c>
      <c r="R98" s="369">
        <v>0</v>
      </c>
      <c r="S98" s="368">
        <v>0</v>
      </c>
      <c r="T98" s="1458" t="s">
        <v>954</v>
      </c>
      <c r="U98" s="1459" t="e">
        <v>#REF!</v>
      </c>
      <c r="V98" s="1459" t="e">
        <v>#REF!</v>
      </c>
      <c r="W98" s="1459" t="e">
        <v>#REF!</v>
      </c>
      <c r="X98" s="1459" t="e">
        <v>#REF!</v>
      </c>
      <c r="Y98" s="1459" t="e">
        <v>#REF!</v>
      </c>
      <c r="Z98" s="1460" t="e">
        <v>#REF!</v>
      </c>
    </row>
    <row r="99" spans="2:26" ht="12.75">
      <c r="B99" s="1125">
        <v>73</v>
      </c>
      <c r="C99" s="364" t="s">
        <v>955</v>
      </c>
      <c r="D99" s="364" t="s">
        <v>813</v>
      </c>
      <c r="E99" s="364" t="s">
        <v>950</v>
      </c>
      <c r="F99" s="365">
        <v>2012</v>
      </c>
      <c r="G99" s="365">
        <v>150</v>
      </c>
      <c r="H99" s="366">
        <v>9.065255598889081</v>
      </c>
      <c r="I99" s="1126">
        <v>9.065255598889081</v>
      </c>
      <c r="J99" s="366">
        <v>0</v>
      </c>
      <c r="K99" s="367">
        <v>0</v>
      </c>
      <c r="L99" s="367">
        <v>0</v>
      </c>
      <c r="M99" s="367">
        <v>0</v>
      </c>
      <c r="N99" s="368">
        <v>0</v>
      </c>
      <c r="O99" s="367">
        <v>0</v>
      </c>
      <c r="P99" s="369">
        <v>0</v>
      </c>
      <c r="Q99" s="369">
        <v>1.028973635186973</v>
      </c>
      <c r="R99" s="369">
        <v>5.030336102368228</v>
      </c>
      <c r="S99" s="368">
        <v>3.0059458613338794</v>
      </c>
      <c r="T99" s="1458" t="s">
        <v>919</v>
      </c>
      <c r="U99" s="1459" t="e">
        <v>#REF!</v>
      </c>
      <c r="V99" s="1459" t="e">
        <v>#REF!</v>
      </c>
      <c r="W99" s="1459" t="e">
        <v>#REF!</v>
      </c>
      <c r="X99" s="1459" t="e">
        <v>#REF!</v>
      </c>
      <c r="Y99" s="1459" t="e">
        <v>#REF!</v>
      </c>
      <c r="Z99" s="1460" t="e">
        <v>#REF!</v>
      </c>
    </row>
    <row r="100" spans="2:26" ht="12.75">
      <c r="B100" s="1125">
        <v>74</v>
      </c>
      <c r="C100" s="364" t="s">
        <v>920</v>
      </c>
      <c r="D100" s="364" t="s">
        <v>713</v>
      </c>
      <c r="E100" s="364" t="s">
        <v>714</v>
      </c>
      <c r="F100" s="365">
        <v>2008</v>
      </c>
      <c r="G100" s="365">
        <v>14.25</v>
      </c>
      <c r="H100" s="366">
        <v>1.0425070253105293</v>
      </c>
      <c r="I100" s="1126">
        <v>1.0425070253105293</v>
      </c>
      <c r="J100" s="366">
        <v>0</v>
      </c>
      <c r="K100" s="367">
        <v>0</v>
      </c>
      <c r="L100" s="367">
        <v>0</v>
      </c>
      <c r="M100" s="367">
        <v>0</v>
      </c>
      <c r="N100" s="368">
        <v>0</v>
      </c>
      <c r="O100" s="367">
        <v>0.5268916959983416</v>
      </c>
      <c r="P100" s="369">
        <v>0.5156153293121877</v>
      </c>
      <c r="Q100" s="369">
        <v>0</v>
      </c>
      <c r="R100" s="369">
        <v>0</v>
      </c>
      <c r="S100" s="368">
        <v>0</v>
      </c>
      <c r="T100" s="1458" t="s">
        <v>921</v>
      </c>
      <c r="U100" s="1459" t="e">
        <v>#REF!</v>
      </c>
      <c r="V100" s="1459" t="e">
        <v>#REF!</v>
      </c>
      <c r="W100" s="1459" t="e">
        <v>#REF!</v>
      </c>
      <c r="X100" s="1459" t="e">
        <v>#REF!</v>
      </c>
      <c r="Y100" s="1459" t="e">
        <v>#REF!</v>
      </c>
      <c r="Z100" s="1460" t="e">
        <v>#REF!</v>
      </c>
    </row>
    <row r="101" spans="2:26" ht="12.75">
      <c r="B101" s="1127"/>
      <c r="C101" s="1128"/>
      <c r="D101" s="364"/>
      <c r="E101" s="364"/>
      <c r="F101" s="365"/>
      <c r="G101" s="1128"/>
      <c r="H101" s="1129"/>
      <c r="I101" s="1130"/>
      <c r="J101" s="367"/>
      <c r="K101" s="367"/>
      <c r="L101" s="367"/>
      <c r="M101" s="367"/>
      <c r="N101" s="1131"/>
      <c r="O101" s="1132"/>
      <c r="P101" s="369"/>
      <c r="Q101" s="369"/>
      <c r="R101" s="369"/>
      <c r="S101" s="1131"/>
      <c r="T101" s="906"/>
      <c r="U101" s="907"/>
      <c r="V101" s="907"/>
      <c r="W101" s="907"/>
      <c r="X101" s="907"/>
      <c r="Y101" s="907"/>
      <c r="Z101" s="908"/>
    </row>
    <row r="102" spans="2:26" ht="13.5" thickBot="1">
      <c r="B102" s="1133"/>
      <c r="C102" s="1134" t="s">
        <v>816</v>
      </c>
      <c r="D102" s="1135"/>
      <c r="E102" s="1135"/>
      <c r="F102" s="1135"/>
      <c r="G102" s="1136">
        <v>2633.25</v>
      </c>
      <c r="H102" s="1137">
        <v>133.57112682216822</v>
      </c>
      <c r="I102" s="1138">
        <v>128.3121268221682</v>
      </c>
      <c r="J102" s="1139">
        <v>0</v>
      </c>
      <c r="K102" s="1139">
        <v>0</v>
      </c>
      <c r="L102" s="1139">
        <v>0</v>
      </c>
      <c r="M102" s="1139">
        <v>1.4</v>
      </c>
      <c r="N102" s="1140">
        <v>3.859</v>
      </c>
      <c r="O102" s="1141">
        <v>24.27759960632803</v>
      </c>
      <c r="P102" s="1139">
        <v>26.418889531471816</v>
      </c>
      <c r="Q102" s="370">
        <v>25.312751425599526</v>
      </c>
      <c r="R102" s="370">
        <v>25.767640034580104</v>
      </c>
      <c r="S102" s="1142">
        <v>26.535246224188732</v>
      </c>
      <c r="T102" s="1143"/>
      <c r="U102" s="1144"/>
      <c r="V102" s="1144"/>
      <c r="W102" s="1144"/>
      <c r="X102" s="1144"/>
      <c r="Y102" s="1144"/>
      <c r="Z102" s="1145"/>
    </row>
  </sheetData>
  <sheetProtection/>
  <mergeCells count="76">
    <mergeCell ref="T97:Z97"/>
    <mergeCell ref="T98:Z98"/>
    <mergeCell ref="T99:Z99"/>
    <mergeCell ref="T100:Z100"/>
    <mergeCell ref="T96:Z96"/>
    <mergeCell ref="T87:Z87"/>
    <mergeCell ref="T88:Z88"/>
    <mergeCell ref="T89:Z89"/>
    <mergeCell ref="T90:Z90"/>
    <mergeCell ref="T91:Z91"/>
    <mergeCell ref="T92:Z92"/>
    <mergeCell ref="T93:Z93"/>
    <mergeCell ref="T94:Z94"/>
    <mergeCell ref="T95:Z95"/>
    <mergeCell ref="T86:Z86"/>
    <mergeCell ref="T77:Z77"/>
    <mergeCell ref="T78:Z78"/>
    <mergeCell ref="T79:Z79"/>
    <mergeCell ref="T80:Z80"/>
    <mergeCell ref="T81:Z81"/>
    <mergeCell ref="T82:Z82"/>
    <mergeCell ref="T83:Z83"/>
    <mergeCell ref="T84:Z84"/>
    <mergeCell ref="T85:Z85"/>
    <mergeCell ref="T76:Z76"/>
    <mergeCell ref="T67:Z67"/>
    <mergeCell ref="T68:Z68"/>
    <mergeCell ref="T69:Z69"/>
    <mergeCell ref="T70:Z70"/>
    <mergeCell ref="T71:Z71"/>
    <mergeCell ref="T72:Z72"/>
    <mergeCell ref="T73:Z73"/>
    <mergeCell ref="T74:Z74"/>
    <mergeCell ref="T75:Z75"/>
    <mergeCell ref="T66:Z66"/>
    <mergeCell ref="T57:Z57"/>
    <mergeCell ref="T58:Z58"/>
    <mergeCell ref="T59:Z59"/>
    <mergeCell ref="T60:Z60"/>
    <mergeCell ref="T61:Z61"/>
    <mergeCell ref="T62:Z62"/>
    <mergeCell ref="T63:Z63"/>
    <mergeCell ref="T64:Z64"/>
    <mergeCell ref="T65:Z65"/>
    <mergeCell ref="T56:Z56"/>
    <mergeCell ref="T47:Z47"/>
    <mergeCell ref="T48:Z48"/>
    <mergeCell ref="T49:Z49"/>
    <mergeCell ref="T50:Z50"/>
    <mergeCell ref="T51:Z51"/>
    <mergeCell ref="T52:Z52"/>
    <mergeCell ref="T53:Z53"/>
    <mergeCell ref="T54:Z54"/>
    <mergeCell ref="T55:Z55"/>
    <mergeCell ref="T40:Z40"/>
    <mergeCell ref="T45:Z45"/>
    <mergeCell ref="T46:Z46"/>
    <mergeCell ref="T41:Z41"/>
    <mergeCell ref="T42:Z42"/>
    <mergeCell ref="T43:Z43"/>
    <mergeCell ref="T44:Z44"/>
    <mergeCell ref="T39:Z39"/>
    <mergeCell ref="T30:Z30"/>
    <mergeCell ref="T31:Z31"/>
    <mergeCell ref="T32:Z32"/>
    <mergeCell ref="T33:Z33"/>
    <mergeCell ref="T34:Z34"/>
    <mergeCell ref="T35:Z35"/>
    <mergeCell ref="T36:Z36"/>
    <mergeCell ref="T37:Z37"/>
    <mergeCell ref="T38:Z38"/>
    <mergeCell ref="T29:Z29"/>
    <mergeCell ref="T25:Z25"/>
    <mergeCell ref="T26:Z26"/>
    <mergeCell ref="T27:Z27"/>
    <mergeCell ref="T28:Z2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E12" sqref="E12:F12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916" t="s">
        <v>610</v>
      </c>
      <c r="F1" s="911" t="s">
        <v>795</v>
      </c>
    </row>
    <row r="2" ht="12.75">
      <c r="A2" s="916"/>
    </row>
    <row r="3" ht="12.75">
      <c r="A3" s="916" t="s">
        <v>390</v>
      </c>
    </row>
    <row r="6" spans="2:19" ht="12.75">
      <c r="B6" s="1049" t="s">
        <v>123</v>
      </c>
      <c r="C6" s="1050"/>
      <c r="D6" s="1050"/>
      <c r="E6" s="1050"/>
      <c r="F6" s="1050"/>
      <c r="G6" s="1050"/>
      <c r="H6" s="1050"/>
      <c r="I6" s="1050"/>
      <c r="J6" s="1050"/>
      <c r="K6" s="1050"/>
      <c r="L6" s="1050"/>
      <c r="M6" s="1050"/>
      <c r="N6" s="1050"/>
      <c r="O6" s="1050"/>
      <c r="P6" s="1050"/>
      <c r="Q6" s="1050"/>
      <c r="R6" s="1050"/>
      <c r="S6" s="1050"/>
    </row>
    <row r="7" spans="2:19" ht="13.5" thickBot="1"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0"/>
      <c r="S7" s="1050"/>
    </row>
    <row r="8" spans="2:19" ht="12.75">
      <c r="B8" s="1051"/>
      <c r="C8" s="1052"/>
      <c r="D8" s="1053" t="s">
        <v>262</v>
      </c>
      <c r="E8" s="1054"/>
      <c r="F8" s="1055"/>
      <c r="G8" s="1053" t="s">
        <v>244</v>
      </c>
      <c r="H8" s="1054"/>
      <c r="I8" s="1055"/>
      <c r="J8" s="1050"/>
      <c r="K8" s="1050"/>
      <c r="L8" s="1050"/>
      <c r="M8" s="1050"/>
      <c r="N8" s="1050"/>
      <c r="O8" s="1050"/>
      <c r="P8" s="1050"/>
      <c r="Q8" s="1050"/>
      <c r="R8" s="1050"/>
      <c r="S8" s="1050"/>
    </row>
    <row r="9" spans="2:19" ht="12.75">
      <c r="B9" s="1056"/>
      <c r="C9" s="1057"/>
      <c r="D9" s="1058" t="s">
        <v>813</v>
      </c>
      <c r="E9" s="1059" t="s">
        <v>815</v>
      </c>
      <c r="F9" s="1060" t="s">
        <v>694</v>
      </c>
      <c r="G9" s="1058" t="s">
        <v>813</v>
      </c>
      <c r="H9" s="1059" t="s">
        <v>815</v>
      </c>
      <c r="I9" s="1060" t="s">
        <v>694</v>
      </c>
      <c r="J9" s="1050"/>
      <c r="K9" s="1050"/>
      <c r="L9" s="1050"/>
      <c r="M9" s="1050"/>
      <c r="N9" s="1050"/>
      <c r="O9" s="1050"/>
      <c r="P9" s="1050"/>
      <c r="Q9" s="1050"/>
      <c r="R9" s="1050"/>
      <c r="S9" s="1050"/>
    </row>
    <row r="10" spans="2:19" ht="12.75">
      <c r="B10" s="1061" t="s">
        <v>500</v>
      </c>
      <c r="C10" s="1062"/>
      <c r="D10" s="379">
        <v>50</v>
      </c>
      <c r="E10" s="380">
        <v>175</v>
      </c>
      <c r="F10" s="381">
        <v>411</v>
      </c>
      <c r="G10" s="379">
        <v>51</v>
      </c>
      <c r="H10" s="380">
        <v>177</v>
      </c>
      <c r="I10" s="381">
        <v>420</v>
      </c>
      <c r="J10" s="1050"/>
      <c r="K10" s="1050"/>
      <c r="L10" s="1050"/>
      <c r="M10" s="1050"/>
      <c r="N10" s="1050"/>
      <c r="O10" s="1050"/>
      <c r="P10" s="1050"/>
      <c r="Q10" s="1050"/>
      <c r="R10" s="1050"/>
      <c r="S10" s="1050"/>
    </row>
    <row r="11" spans="2:19" ht="12.75">
      <c r="B11" s="1061" t="s">
        <v>96</v>
      </c>
      <c r="C11" s="1062"/>
      <c r="D11" s="382">
        <v>5</v>
      </c>
      <c r="E11" s="383">
        <v>12</v>
      </c>
      <c r="F11" s="384">
        <v>32</v>
      </c>
      <c r="G11" s="382">
        <v>5</v>
      </c>
      <c r="H11" s="383">
        <v>10</v>
      </c>
      <c r="I11" s="384">
        <v>30</v>
      </c>
      <c r="J11" s="1050"/>
      <c r="K11" s="1050"/>
      <c r="L11" s="1050"/>
      <c r="M11" s="1050"/>
      <c r="N11" s="1050"/>
      <c r="O11" s="1050"/>
      <c r="P11" s="1050"/>
      <c r="Q11" s="1050"/>
      <c r="R11" s="1050"/>
      <c r="S11" s="1050"/>
    </row>
    <row r="12" spans="2:19" ht="13.5" thickBot="1">
      <c r="B12" s="1063" t="s">
        <v>232</v>
      </c>
      <c r="C12" s="1064"/>
      <c r="D12" s="385">
        <v>5</v>
      </c>
      <c r="E12" s="386">
        <v>12</v>
      </c>
      <c r="F12" s="387">
        <v>32</v>
      </c>
      <c r="G12" s="385">
        <v>5</v>
      </c>
      <c r="H12" s="386">
        <v>10</v>
      </c>
      <c r="I12" s="387">
        <v>30</v>
      </c>
      <c r="J12" s="1050"/>
      <c r="K12" s="1050"/>
      <c r="L12" s="1050"/>
      <c r="M12" s="1050"/>
      <c r="N12" s="1050"/>
      <c r="O12" s="1050"/>
      <c r="P12" s="1050"/>
      <c r="Q12" s="1050"/>
      <c r="R12" s="1050"/>
      <c r="S12" s="1050"/>
    </row>
    <row r="13" spans="2:19" ht="12.75">
      <c r="B13" s="1050"/>
      <c r="C13" s="1050"/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</row>
    <row r="14" spans="2:19" ht="12.75">
      <c r="B14" s="1049" t="s">
        <v>358</v>
      </c>
      <c r="C14" s="1050"/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</row>
    <row r="15" spans="2:19" ht="13.5" thickBot="1">
      <c r="B15" s="1050"/>
      <c r="C15" s="1050"/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</row>
    <row r="16" spans="2:19" ht="12.75">
      <c r="B16" s="1051" t="s">
        <v>257</v>
      </c>
      <c r="C16" s="1052"/>
      <c r="D16" s="1053" t="s">
        <v>482</v>
      </c>
      <c r="E16" s="1054"/>
      <c r="F16" s="1055"/>
      <c r="G16" s="1053" t="s">
        <v>483</v>
      </c>
      <c r="H16" s="1054"/>
      <c r="I16" s="1055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</row>
    <row r="17" spans="2:19" ht="12.75">
      <c r="B17" s="1056"/>
      <c r="C17" s="1057"/>
      <c r="D17" s="1058" t="s">
        <v>813</v>
      </c>
      <c r="E17" s="1059" t="s">
        <v>815</v>
      </c>
      <c r="F17" s="1060" t="s">
        <v>694</v>
      </c>
      <c r="G17" s="1058" t="s">
        <v>813</v>
      </c>
      <c r="H17" s="1059" t="s">
        <v>815</v>
      </c>
      <c r="I17" s="1060" t="s">
        <v>694</v>
      </c>
      <c r="J17" s="1050"/>
      <c r="K17" s="1050"/>
      <c r="L17" s="1050"/>
      <c r="M17" s="1050"/>
      <c r="N17" s="1050"/>
      <c r="O17" s="1050"/>
      <c r="P17" s="1050"/>
      <c r="Q17" s="1050"/>
      <c r="R17" s="1050"/>
      <c r="S17" s="1050"/>
    </row>
    <row r="18" spans="2:19" ht="12.75">
      <c r="B18" s="1061" t="s">
        <v>258</v>
      </c>
      <c r="C18" s="1065"/>
      <c r="D18" s="382">
        <v>0</v>
      </c>
      <c r="E18" s="383">
        <v>0</v>
      </c>
      <c r="F18" s="388">
        <v>0</v>
      </c>
      <c r="G18" s="382">
        <v>4</v>
      </c>
      <c r="H18" s="383">
        <v>3</v>
      </c>
      <c r="I18" s="388">
        <v>0</v>
      </c>
      <c r="J18" s="1050"/>
      <c r="K18" s="1050"/>
      <c r="L18" s="1050"/>
      <c r="M18" s="1050"/>
      <c r="N18" s="1050"/>
      <c r="O18" s="1050"/>
      <c r="P18" s="1050"/>
      <c r="Q18" s="1050"/>
      <c r="R18" s="1050"/>
      <c r="S18" s="1050"/>
    </row>
    <row r="19" spans="2:19" ht="12.75">
      <c r="B19" s="1061" t="s">
        <v>271</v>
      </c>
      <c r="C19" s="1065"/>
      <c r="D19" s="382">
        <v>0</v>
      </c>
      <c r="E19" s="383">
        <v>0</v>
      </c>
      <c r="F19" s="388">
        <v>0</v>
      </c>
      <c r="G19" s="382">
        <v>0</v>
      </c>
      <c r="H19" s="383">
        <v>0</v>
      </c>
      <c r="I19" s="388">
        <v>0</v>
      </c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</row>
    <row r="20" spans="2:19" ht="13.5" thickBot="1">
      <c r="B20" s="1063" t="s">
        <v>272</v>
      </c>
      <c r="C20" s="1064"/>
      <c r="D20" s="385">
        <v>0</v>
      </c>
      <c r="E20" s="389">
        <v>0</v>
      </c>
      <c r="F20" s="387">
        <v>0</v>
      </c>
      <c r="G20" s="385">
        <v>0</v>
      </c>
      <c r="H20" s="389">
        <v>0</v>
      </c>
      <c r="I20" s="387">
        <v>0</v>
      </c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</row>
    <row r="21" spans="2:19" ht="12.75">
      <c r="B21" s="1050"/>
      <c r="C21" s="1050"/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0"/>
      <c r="P21" s="1050"/>
      <c r="Q21" s="1050"/>
      <c r="R21" s="1050"/>
      <c r="S21" s="1050"/>
    </row>
    <row r="22" spans="2:19" ht="12.75">
      <c r="B22" s="1049" t="s">
        <v>273</v>
      </c>
      <c r="C22" s="1050"/>
      <c r="D22" s="1050"/>
      <c r="E22" s="1050"/>
      <c r="F22" s="1050"/>
      <c r="G22" s="1050"/>
      <c r="H22" s="1050"/>
      <c r="I22" s="1050"/>
      <c r="J22" s="1050"/>
      <c r="K22" s="1050"/>
      <c r="L22" s="1050"/>
      <c r="M22" s="1050"/>
      <c r="N22" s="1050"/>
      <c r="O22" s="1050"/>
      <c r="P22" s="1050"/>
      <c r="Q22" s="1050"/>
      <c r="R22" s="1050"/>
      <c r="S22" s="1050"/>
    </row>
    <row r="23" spans="2:19" ht="13.5" thickBot="1">
      <c r="B23" s="1049"/>
      <c r="C23" s="1050"/>
      <c r="D23" s="1050"/>
      <c r="E23" s="1050"/>
      <c r="F23" s="1050"/>
      <c r="G23" s="1050"/>
      <c r="H23" s="1050"/>
      <c r="I23" s="1050"/>
      <c r="J23" s="1050"/>
      <c r="K23" s="1050"/>
      <c r="L23" s="1050"/>
      <c r="M23" s="1050"/>
      <c r="N23" s="1050"/>
      <c r="O23" s="1050"/>
      <c r="P23" s="1050"/>
      <c r="Q23" s="1050"/>
      <c r="R23" s="1050"/>
      <c r="S23" s="1050"/>
    </row>
    <row r="24" spans="2:19" ht="12.75">
      <c r="B24" s="1066"/>
      <c r="C24" s="1067" t="s">
        <v>482</v>
      </c>
      <c r="D24" s="1068"/>
      <c r="E24" s="1068"/>
      <c r="F24" s="1068"/>
      <c r="G24" s="1069"/>
      <c r="H24" s="1067" t="s">
        <v>483</v>
      </c>
      <c r="I24" s="1070"/>
      <c r="J24" s="1070"/>
      <c r="K24" s="1070"/>
      <c r="L24" s="1069"/>
      <c r="M24" s="390"/>
      <c r="N24" s="1027" t="s">
        <v>482</v>
      </c>
      <c r="O24" s="1028"/>
      <c r="P24" s="1029"/>
      <c r="Q24" s="390"/>
      <c r="R24" s="1027" t="s">
        <v>483</v>
      </c>
      <c r="S24" s="1029"/>
    </row>
    <row r="25" spans="2:19" ht="12.75">
      <c r="B25" s="1071"/>
      <c r="C25" s="1030" t="s">
        <v>674</v>
      </c>
      <c r="D25" s="1031" t="s">
        <v>675</v>
      </c>
      <c r="E25" s="1031" t="s">
        <v>535</v>
      </c>
      <c r="F25" s="1031" t="s">
        <v>676</v>
      </c>
      <c r="G25" s="1032" t="s">
        <v>538</v>
      </c>
      <c r="H25" s="1030" t="s">
        <v>484</v>
      </c>
      <c r="I25" s="1031" t="s">
        <v>785</v>
      </c>
      <c r="J25" s="1031" t="s">
        <v>786</v>
      </c>
      <c r="K25" s="1031" t="s">
        <v>787</v>
      </c>
      <c r="L25" s="1032" t="s">
        <v>788</v>
      </c>
      <c r="M25" s="390"/>
      <c r="N25" s="1030" t="s">
        <v>775</v>
      </c>
      <c r="O25" s="1031" t="s">
        <v>776</v>
      </c>
      <c r="P25" s="1032" t="s">
        <v>816</v>
      </c>
      <c r="Q25" s="390"/>
      <c r="R25" s="1030" t="s">
        <v>776</v>
      </c>
      <c r="S25" s="1032" t="s">
        <v>777</v>
      </c>
    </row>
    <row r="26" spans="2:19" ht="12.75">
      <c r="B26" s="1072"/>
      <c r="C26" s="1073" t="s">
        <v>509</v>
      </c>
      <c r="D26" s="1074" t="s">
        <v>509</v>
      </c>
      <c r="E26" s="1074" t="s">
        <v>509</v>
      </c>
      <c r="F26" s="1074" t="s">
        <v>509</v>
      </c>
      <c r="G26" s="1075" t="s">
        <v>509</v>
      </c>
      <c r="H26" s="1073" t="s">
        <v>509</v>
      </c>
      <c r="I26" s="1074" t="s">
        <v>509</v>
      </c>
      <c r="J26" s="1074" t="s">
        <v>509</v>
      </c>
      <c r="K26" s="1074" t="s">
        <v>509</v>
      </c>
      <c r="L26" s="1075" t="s">
        <v>509</v>
      </c>
      <c r="M26" s="391"/>
      <c r="N26" s="1073" t="s">
        <v>509</v>
      </c>
      <c r="O26" s="1074" t="s">
        <v>509</v>
      </c>
      <c r="P26" s="1075" t="s">
        <v>509</v>
      </c>
      <c r="Q26" s="391"/>
      <c r="R26" s="1073" t="s">
        <v>509</v>
      </c>
      <c r="S26" s="1075" t="s">
        <v>509</v>
      </c>
    </row>
    <row r="27" spans="2:19" ht="12.75">
      <c r="B27" s="1076" t="s">
        <v>510</v>
      </c>
      <c r="C27" s="1077"/>
      <c r="D27" s="1078"/>
      <c r="E27" s="1078"/>
      <c r="F27" s="1078"/>
      <c r="G27" s="1079"/>
      <c r="H27" s="1077"/>
      <c r="I27" s="1078"/>
      <c r="J27" s="1078"/>
      <c r="K27" s="1078"/>
      <c r="L27" s="1079"/>
      <c r="M27" s="391"/>
      <c r="N27" s="1077"/>
      <c r="O27" s="1080"/>
      <c r="P27" s="1081"/>
      <c r="Q27" s="391"/>
      <c r="R27" s="1077"/>
      <c r="S27" s="1082"/>
    </row>
    <row r="28" spans="2:19" ht="12.75">
      <c r="B28" s="1083" t="s">
        <v>511</v>
      </c>
      <c r="C28" s="330">
        <v>0</v>
      </c>
      <c r="D28" s="331">
        <v>0</v>
      </c>
      <c r="E28" s="331">
        <v>0</v>
      </c>
      <c r="F28" s="331">
        <v>0</v>
      </c>
      <c r="G28" s="332">
        <v>0</v>
      </c>
      <c r="H28" s="330">
        <v>0</v>
      </c>
      <c r="I28" s="333">
        <v>0</v>
      </c>
      <c r="J28" s="333">
        <v>0</v>
      </c>
      <c r="K28" s="333">
        <v>0</v>
      </c>
      <c r="L28" s="332">
        <v>0</v>
      </c>
      <c r="M28" s="390"/>
      <c r="N28" s="1038">
        <v>0</v>
      </c>
      <c r="O28" s="1039">
        <v>0</v>
      </c>
      <c r="P28" s="1040">
        <v>0</v>
      </c>
      <c r="Q28" s="390"/>
      <c r="R28" s="1038">
        <v>0</v>
      </c>
      <c r="S28" s="1041" t="s">
        <v>708</v>
      </c>
    </row>
    <row r="29" spans="2:19" ht="12.75">
      <c r="B29" s="1083" t="s">
        <v>694</v>
      </c>
      <c r="C29" s="330">
        <v>0</v>
      </c>
      <c r="D29" s="331">
        <v>0</v>
      </c>
      <c r="E29" s="331">
        <v>0</v>
      </c>
      <c r="F29" s="331">
        <v>0</v>
      </c>
      <c r="G29" s="332">
        <v>0</v>
      </c>
      <c r="H29" s="330">
        <v>0</v>
      </c>
      <c r="I29" s="333">
        <v>0</v>
      </c>
      <c r="J29" s="333">
        <v>0</v>
      </c>
      <c r="K29" s="333">
        <v>0</v>
      </c>
      <c r="L29" s="332">
        <v>0</v>
      </c>
      <c r="M29" s="390"/>
      <c r="N29" s="1038">
        <v>0</v>
      </c>
      <c r="O29" s="1039">
        <v>0</v>
      </c>
      <c r="P29" s="1040">
        <v>0</v>
      </c>
      <c r="Q29" s="390"/>
      <c r="R29" s="1038">
        <v>0</v>
      </c>
      <c r="S29" s="1041" t="s">
        <v>708</v>
      </c>
    </row>
    <row r="30" spans="2:19" ht="12.75">
      <c r="B30" s="1083" t="s">
        <v>512</v>
      </c>
      <c r="C30" s="330">
        <v>0</v>
      </c>
      <c r="D30" s="331">
        <v>0</v>
      </c>
      <c r="E30" s="331">
        <v>0</v>
      </c>
      <c r="F30" s="331">
        <v>0</v>
      </c>
      <c r="G30" s="332">
        <v>0</v>
      </c>
      <c r="H30" s="330">
        <v>0</v>
      </c>
      <c r="I30" s="333">
        <v>1.2374767903492503</v>
      </c>
      <c r="J30" s="333">
        <v>1.749255179817854</v>
      </c>
      <c r="K30" s="333">
        <v>1.2319190454779334</v>
      </c>
      <c r="L30" s="332">
        <v>0</v>
      </c>
      <c r="M30" s="390"/>
      <c r="N30" s="1038">
        <v>0</v>
      </c>
      <c r="O30" s="1039">
        <v>0</v>
      </c>
      <c r="P30" s="1040">
        <v>0</v>
      </c>
      <c r="Q30" s="390"/>
      <c r="R30" s="1038">
        <v>4.218651015645038</v>
      </c>
      <c r="S30" s="1041" t="s">
        <v>708</v>
      </c>
    </row>
    <row r="31" spans="2:19" ht="12.75">
      <c r="B31" s="1083" t="s">
        <v>513</v>
      </c>
      <c r="C31" s="330">
        <v>0</v>
      </c>
      <c r="D31" s="331">
        <v>0</v>
      </c>
      <c r="E31" s="331">
        <v>0</v>
      </c>
      <c r="F31" s="331">
        <v>0</v>
      </c>
      <c r="G31" s="332">
        <v>0</v>
      </c>
      <c r="H31" s="330">
        <v>0</v>
      </c>
      <c r="I31" s="333">
        <v>0</v>
      </c>
      <c r="J31" s="333">
        <v>4.012997177229194</v>
      </c>
      <c r="K31" s="333">
        <v>5.030336102368228</v>
      </c>
      <c r="L31" s="332">
        <v>6.011891722667758</v>
      </c>
      <c r="M31" s="390"/>
      <c r="N31" s="1038">
        <v>0</v>
      </c>
      <c r="O31" s="1039">
        <v>0</v>
      </c>
      <c r="P31" s="1040">
        <v>0</v>
      </c>
      <c r="Q31" s="390"/>
      <c r="R31" s="1038">
        <v>15.055225002265182</v>
      </c>
      <c r="S31" s="1041" t="s">
        <v>708</v>
      </c>
    </row>
    <row r="32" spans="2:19" ht="13.5" thickBot="1">
      <c r="B32" s="1084" t="s">
        <v>514</v>
      </c>
      <c r="C32" s="1085">
        <v>0</v>
      </c>
      <c r="D32" s="1086">
        <v>0</v>
      </c>
      <c r="E32" s="1086">
        <v>0</v>
      </c>
      <c r="F32" s="1086">
        <v>0</v>
      </c>
      <c r="G32" s="1087">
        <v>0</v>
      </c>
      <c r="H32" s="1085">
        <v>0</v>
      </c>
      <c r="I32" s="1088">
        <v>1.2374767903492503</v>
      </c>
      <c r="J32" s="1088">
        <v>5.762252357047048</v>
      </c>
      <c r="K32" s="1088">
        <v>6.262255147846162</v>
      </c>
      <c r="L32" s="1087">
        <v>6.011891722667758</v>
      </c>
      <c r="M32" s="392"/>
      <c r="N32" s="1085">
        <v>0</v>
      </c>
      <c r="O32" s="1088">
        <v>0</v>
      </c>
      <c r="P32" s="1087">
        <v>0</v>
      </c>
      <c r="Q32" s="392"/>
      <c r="R32" s="1085">
        <v>19.27387601791022</v>
      </c>
      <c r="S32" s="1089" t="s">
        <v>708</v>
      </c>
    </row>
    <row r="33" spans="2:19" ht="12.75">
      <c r="B33" s="1050"/>
      <c r="C33" s="1050"/>
      <c r="D33" s="1050"/>
      <c r="E33" s="1050"/>
      <c r="F33" s="1050"/>
      <c r="G33" s="1050"/>
      <c r="H33" s="1050"/>
      <c r="I33" s="1050"/>
      <c r="J33" s="1050"/>
      <c r="K33" s="1050"/>
      <c r="L33" s="1050"/>
      <c r="M33" s="280"/>
      <c r="N33" s="1050"/>
      <c r="O33" s="1050"/>
      <c r="P33" s="1050"/>
      <c r="Q33" s="280"/>
      <c r="R33" s="1050"/>
      <c r="S33" s="1050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G14" sqref="G14"/>
    </sheetView>
  </sheetViews>
  <sheetFormatPr defaultColWidth="11.42187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916" t="s">
        <v>610</v>
      </c>
      <c r="F1" s="911" t="s">
        <v>795</v>
      </c>
      <c r="G1" t="s">
        <v>611</v>
      </c>
    </row>
    <row r="2" ht="12.75">
      <c r="A2" s="916"/>
    </row>
    <row r="3" ht="12.75">
      <c r="A3" s="916" t="s">
        <v>464</v>
      </c>
    </row>
    <row r="5" spans="2:20" ht="19.5">
      <c r="B5" s="393" t="s">
        <v>478</v>
      </c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280"/>
      <c r="P5" s="280"/>
      <c r="Q5" s="280"/>
      <c r="R5" s="280"/>
      <c r="S5" s="280"/>
      <c r="T5" s="280"/>
    </row>
    <row r="6" spans="2:20" ht="15" thickBot="1"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280"/>
      <c r="O6" s="396"/>
      <c r="P6" s="396"/>
      <c r="Q6" s="396"/>
      <c r="R6" s="280"/>
      <c r="S6" s="396"/>
      <c r="T6" s="396"/>
    </row>
    <row r="7" spans="2:20" ht="15">
      <c r="B7" s="397" t="s">
        <v>479</v>
      </c>
      <c r="C7" s="398"/>
      <c r="D7" s="399" t="s">
        <v>480</v>
      </c>
      <c r="E7" s="400"/>
      <c r="F7" s="400"/>
      <c r="G7" s="400"/>
      <c r="H7" s="401"/>
      <c r="I7" s="399" t="s">
        <v>481</v>
      </c>
      <c r="J7" s="400"/>
      <c r="K7" s="400"/>
      <c r="L7" s="400"/>
      <c r="M7" s="401"/>
      <c r="N7" s="280"/>
      <c r="O7" s="1027" t="s">
        <v>482</v>
      </c>
      <c r="P7" s="1028"/>
      <c r="Q7" s="1029"/>
      <c r="R7" s="280"/>
      <c r="S7" s="1027" t="s">
        <v>483</v>
      </c>
      <c r="T7" s="1029"/>
    </row>
    <row r="8" spans="2:20" ht="15">
      <c r="B8" s="402"/>
      <c r="C8" s="403"/>
      <c r="D8" s="404" t="s">
        <v>674</v>
      </c>
      <c r="E8" s="405" t="s">
        <v>675</v>
      </c>
      <c r="F8" s="405" t="s">
        <v>535</v>
      </c>
      <c r="G8" s="405" t="s">
        <v>676</v>
      </c>
      <c r="H8" s="406" t="s">
        <v>538</v>
      </c>
      <c r="I8" s="404" t="s">
        <v>484</v>
      </c>
      <c r="J8" s="405" t="s">
        <v>785</v>
      </c>
      <c r="K8" s="405" t="s">
        <v>786</v>
      </c>
      <c r="L8" s="405" t="s">
        <v>787</v>
      </c>
      <c r="M8" s="406" t="s">
        <v>788</v>
      </c>
      <c r="N8" s="280"/>
      <c r="O8" s="1030" t="s">
        <v>775</v>
      </c>
      <c r="P8" s="1031" t="s">
        <v>776</v>
      </c>
      <c r="Q8" s="1032" t="s">
        <v>816</v>
      </c>
      <c r="R8" s="280"/>
      <c r="S8" s="1030" t="s">
        <v>776</v>
      </c>
      <c r="T8" s="1032" t="s">
        <v>777</v>
      </c>
    </row>
    <row r="9" spans="2:20" ht="18">
      <c r="B9" s="407"/>
      <c r="C9" s="408"/>
      <c r="D9" s="404" t="s">
        <v>660</v>
      </c>
      <c r="E9" s="405" t="s">
        <v>660</v>
      </c>
      <c r="F9" s="405" t="s">
        <v>660</v>
      </c>
      <c r="G9" s="405" t="s">
        <v>660</v>
      </c>
      <c r="H9" s="406" t="s">
        <v>660</v>
      </c>
      <c r="I9" s="409" t="s">
        <v>660</v>
      </c>
      <c r="J9" s="405" t="s">
        <v>660</v>
      </c>
      <c r="K9" s="405" t="s">
        <v>660</v>
      </c>
      <c r="L9" s="405" t="s">
        <v>660</v>
      </c>
      <c r="M9" s="406" t="s">
        <v>660</v>
      </c>
      <c r="N9" s="395"/>
      <c r="O9" s="1033"/>
      <c r="P9" s="1034"/>
      <c r="Q9" s="1035"/>
      <c r="R9" s="280"/>
      <c r="S9" s="1036"/>
      <c r="T9" s="1037"/>
    </row>
    <row r="10" spans="2:20" ht="14.25" customHeight="1">
      <c r="B10" s="1466" t="s">
        <v>745</v>
      </c>
      <c r="C10" s="410" t="s">
        <v>746</v>
      </c>
      <c r="D10" s="411">
        <v>0.2982975413008858</v>
      </c>
      <c r="E10" s="412">
        <v>0</v>
      </c>
      <c r="F10" s="412">
        <v>0.19930757130482524</v>
      </c>
      <c r="G10" s="412">
        <v>0.8930759286967582</v>
      </c>
      <c r="H10" s="413">
        <v>1.1117532404936123</v>
      </c>
      <c r="I10" s="411">
        <v>2.331595702259394</v>
      </c>
      <c r="J10" s="412">
        <v>2.385870368835541</v>
      </c>
      <c r="K10" s="412">
        <v>2.5898619825362434</v>
      </c>
      <c r="L10" s="412">
        <v>2.687081415435867</v>
      </c>
      <c r="M10" s="413">
        <v>2.9234021642228014</v>
      </c>
      <c r="N10" s="395"/>
      <c r="O10" s="1038">
        <v>0.49760511260571105</v>
      </c>
      <c r="P10" s="1039">
        <v>2.0048291691903706</v>
      </c>
      <c r="Q10" s="1040">
        <v>2.5024342817960816</v>
      </c>
      <c r="R10" s="280"/>
      <c r="S10" s="1038">
        <v>12.917811633289846</v>
      </c>
      <c r="T10" s="1041">
        <v>4.162098252593589</v>
      </c>
    </row>
    <row r="11" spans="2:20" ht="14.25" customHeight="1">
      <c r="B11" s="1461"/>
      <c r="C11" s="414" t="s">
        <v>747</v>
      </c>
      <c r="D11" s="415">
        <v>1.1931901652035435</v>
      </c>
      <c r="E11" s="416">
        <v>1.8921689777536406</v>
      </c>
      <c r="F11" s="416">
        <v>3.7868438547916794</v>
      </c>
      <c r="G11" s="416">
        <v>0.33490347326128433</v>
      </c>
      <c r="H11" s="417">
        <v>0.88940259239489</v>
      </c>
      <c r="I11" s="415">
        <v>0.42392649131988985</v>
      </c>
      <c r="J11" s="416">
        <v>0.5186674714859874</v>
      </c>
      <c r="K11" s="416">
        <v>0.5179723965072487</v>
      </c>
      <c r="L11" s="416">
        <v>0.620095711254431</v>
      </c>
      <c r="M11" s="417">
        <v>0.7308505410557004</v>
      </c>
      <c r="N11" s="395"/>
      <c r="O11" s="1038">
        <v>6.872202997748864</v>
      </c>
      <c r="P11" s="1039">
        <v>1.2243060656561742</v>
      </c>
      <c r="Q11" s="1040">
        <v>8.096509063405037</v>
      </c>
      <c r="R11" s="280"/>
      <c r="S11" s="1038">
        <v>2.8115126116232574</v>
      </c>
      <c r="T11" s="1041">
        <v>-0.6527500198411612</v>
      </c>
    </row>
    <row r="12" spans="2:20" ht="14.25" customHeight="1">
      <c r="B12" s="1461" t="s">
        <v>748</v>
      </c>
      <c r="C12" s="414" t="s">
        <v>746</v>
      </c>
      <c r="D12" s="415">
        <v>0</v>
      </c>
      <c r="E12" s="416">
        <v>0</v>
      </c>
      <c r="F12" s="416">
        <v>0</v>
      </c>
      <c r="G12" s="416">
        <v>0</v>
      </c>
      <c r="H12" s="417">
        <v>0</v>
      </c>
      <c r="I12" s="415">
        <v>0</v>
      </c>
      <c r="J12" s="416">
        <v>0</v>
      </c>
      <c r="K12" s="416">
        <v>0</v>
      </c>
      <c r="L12" s="416">
        <v>0</v>
      </c>
      <c r="M12" s="417">
        <v>0</v>
      </c>
      <c r="N12" s="395"/>
      <c r="O12" s="1038">
        <v>0</v>
      </c>
      <c r="P12" s="1039">
        <v>0</v>
      </c>
      <c r="Q12" s="1040">
        <v>0</v>
      </c>
      <c r="R12" s="280"/>
      <c r="S12" s="1038">
        <v>0</v>
      </c>
      <c r="T12" s="1041" t="s">
        <v>708</v>
      </c>
    </row>
    <row r="13" spans="2:20" ht="14.25" customHeight="1">
      <c r="B13" s="1461"/>
      <c r="C13" s="414" t="s">
        <v>747</v>
      </c>
      <c r="D13" s="415">
        <v>0</v>
      </c>
      <c r="E13" s="416">
        <v>0</v>
      </c>
      <c r="F13" s="416">
        <v>0</v>
      </c>
      <c r="G13" s="416">
        <v>0</v>
      </c>
      <c r="H13" s="417">
        <v>0</v>
      </c>
      <c r="I13" s="415">
        <v>0</v>
      </c>
      <c r="J13" s="416">
        <v>0</v>
      </c>
      <c r="K13" s="416">
        <v>0</v>
      </c>
      <c r="L13" s="416">
        <v>0</v>
      </c>
      <c r="M13" s="417">
        <v>0</v>
      </c>
      <c r="N13" s="395"/>
      <c r="O13" s="1038">
        <v>0</v>
      </c>
      <c r="P13" s="1039">
        <v>0</v>
      </c>
      <c r="Q13" s="1040">
        <v>0</v>
      </c>
      <c r="R13" s="280"/>
      <c r="S13" s="1038">
        <v>0</v>
      </c>
      <c r="T13" s="1041" t="s">
        <v>708</v>
      </c>
    </row>
    <row r="14" spans="2:20" ht="14.25" customHeight="1">
      <c r="B14" s="1462" t="s">
        <v>598</v>
      </c>
      <c r="C14" s="414" t="s">
        <v>778</v>
      </c>
      <c r="D14" s="415">
        <v>0</v>
      </c>
      <c r="E14" s="416">
        <v>0.5975270456064128</v>
      </c>
      <c r="F14" s="416">
        <v>0.5979227139144757</v>
      </c>
      <c r="G14" s="416">
        <v>1.562882875219327</v>
      </c>
      <c r="H14" s="417">
        <v>1.7788051847897797</v>
      </c>
      <c r="I14" s="415">
        <v>2.861503816409256</v>
      </c>
      <c r="J14" s="416">
        <v>3.008271334618726</v>
      </c>
      <c r="K14" s="416">
        <v>3.315023337646392</v>
      </c>
      <c r="L14" s="416">
        <v>3.5138756971084417</v>
      </c>
      <c r="M14" s="417">
        <v>3.758659925429317</v>
      </c>
      <c r="N14" s="395"/>
      <c r="O14" s="1038">
        <v>1.1954497595208884</v>
      </c>
      <c r="P14" s="1039">
        <v>3.3416880600091066</v>
      </c>
      <c r="Q14" s="1040">
        <v>4.537137819529995</v>
      </c>
      <c r="R14" s="280"/>
      <c r="S14" s="1038">
        <v>16.457334111212134</v>
      </c>
      <c r="T14" s="1041">
        <v>2.627250210556081</v>
      </c>
    </row>
    <row r="15" spans="2:20" ht="14.25" customHeight="1">
      <c r="B15" s="1462"/>
      <c r="C15" s="414" t="s">
        <v>656</v>
      </c>
      <c r="D15" s="415">
        <v>1.5909202202713912</v>
      </c>
      <c r="E15" s="416">
        <v>1.9917568186880426</v>
      </c>
      <c r="F15" s="416">
        <v>5.480958210882694</v>
      </c>
      <c r="G15" s="416">
        <v>4.68864862565798</v>
      </c>
      <c r="H15" s="417">
        <v>5.781116850566783</v>
      </c>
      <c r="I15" s="415">
        <v>4.981136273008705</v>
      </c>
      <c r="J15" s="416">
        <v>6.120276163534649</v>
      </c>
      <c r="K15" s="416">
        <v>7.4588025097043795</v>
      </c>
      <c r="L15" s="416">
        <v>8.681339957562033</v>
      </c>
      <c r="M15" s="417">
        <v>10.231907574779804</v>
      </c>
      <c r="N15" s="395"/>
      <c r="O15" s="1038">
        <v>9.063635249842127</v>
      </c>
      <c r="P15" s="1039">
        <v>10.469765476224763</v>
      </c>
      <c r="Q15" s="1040">
        <v>19.53340072606689</v>
      </c>
      <c r="R15" s="280"/>
      <c r="S15" s="1038">
        <v>37.47346247858957</v>
      </c>
      <c r="T15" s="1041">
        <v>0.9184300268095182</v>
      </c>
    </row>
    <row r="16" spans="2:20" ht="14.25" customHeight="1">
      <c r="B16" s="1462"/>
      <c r="C16" s="418" t="s">
        <v>882</v>
      </c>
      <c r="D16" s="415">
        <v>2.187515302873163</v>
      </c>
      <c r="E16" s="416">
        <v>2.6888717052288578</v>
      </c>
      <c r="F16" s="416">
        <v>2.4913446413103153</v>
      </c>
      <c r="G16" s="416">
        <v>1.4512483841322323</v>
      </c>
      <c r="H16" s="417">
        <v>1.889980508839141</v>
      </c>
      <c r="I16" s="415">
        <v>2.119632456599449</v>
      </c>
      <c r="J16" s="416">
        <v>2.1784033802411464</v>
      </c>
      <c r="K16" s="416">
        <v>2.1754840653304446</v>
      </c>
      <c r="L16" s="416">
        <v>2.2736842745995802</v>
      </c>
      <c r="M16" s="417">
        <v>2.4013660634687297</v>
      </c>
      <c r="N16" s="395"/>
      <c r="O16" s="1038">
        <v>7.367731649412336</v>
      </c>
      <c r="P16" s="1039">
        <v>3.3412288929713734</v>
      </c>
      <c r="Q16" s="1040">
        <v>10.70896054238371</v>
      </c>
      <c r="R16" s="280"/>
      <c r="S16" s="1038">
        <v>11.14857024023935</v>
      </c>
      <c r="T16" s="1041">
        <v>0.04105064129387352</v>
      </c>
    </row>
    <row r="17" spans="2:20" ht="14.25" customHeight="1">
      <c r="B17" s="1462" t="s">
        <v>694</v>
      </c>
      <c r="C17" s="414" t="s">
        <v>883</v>
      </c>
      <c r="D17" s="415">
        <v>5.866518312250754</v>
      </c>
      <c r="E17" s="416">
        <v>9.162081365964996</v>
      </c>
      <c r="F17" s="416">
        <v>10.363993707850911</v>
      </c>
      <c r="G17" s="416">
        <v>12.503063001754613</v>
      </c>
      <c r="H17" s="417">
        <v>10.116954488491873</v>
      </c>
      <c r="I17" s="415">
        <v>9.96227254601741</v>
      </c>
      <c r="J17" s="416">
        <v>9.024814003856177</v>
      </c>
      <c r="K17" s="416">
        <v>8.391152823417428</v>
      </c>
      <c r="L17" s="416">
        <v>7.854545675889458</v>
      </c>
      <c r="M17" s="417">
        <v>7.412912630707819</v>
      </c>
      <c r="N17" s="395"/>
      <c r="O17" s="1038">
        <v>25.39259338606666</v>
      </c>
      <c r="P17" s="1039">
        <v>22.620017490246486</v>
      </c>
      <c r="Q17" s="1040">
        <v>48.01261087631315</v>
      </c>
      <c r="R17" s="280"/>
      <c r="S17" s="1038">
        <v>42.6456976798883</v>
      </c>
      <c r="T17" s="1041">
        <v>-0.11178132366620776</v>
      </c>
    </row>
    <row r="18" spans="2:20" ht="14.25" customHeight="1">
      <c r="B18" s="1462"/>
      <c r="C18" s="414" t="s">
        <v>634</v>
      </c>
      <c r="D18" s="415">
        <v>1.1931901652035433</v>
      </c>
      <c r="E18" s="416">
        <v>1.4938176140160322</v>
      </c>
      <c r="F18" s="416">
        <v>4.683727925663393</v>
      </c>
      <c r="G18" s="416">
        <v>1.1163449108709478</v>
      </c>
      <c r="H18" s="417">
        <v>1.4452792126416962</v>
      </c>
      <c r="I18" s="415">
        <v>0.8478529826397796</v>
      </c>
      <c r="J18" s="416">
        <v>1.0373349429719745</v>
      </c>
      <c r="K18" s="416">
        <v>1.4503227102202962</v>
      </c>
      <c r="L18" s="416">
        <v>1.5502392781360774</v>
      </c>
      <c r="M18" s="417">
        <v>1.6705155224130297</v>
      </c>
      <c r="N18" s="395"/>
      <c r="O18" s="1038">
        <v>7.370735704882969</v>
      </c>
      <c r="P18" s="1039">
        <v>2.561624123512644</v>
      </c>
      <c r="Q18" s="1040">
        <v>9.932359828395612</v>
      </c>
      <c r="R18" s="280"/>
      <c r="S18" s="1038">
        <v>6.556265436381157</v>
      </c>
      <c r="T18" s="1041">
        <v>-0.33990858671496604</v>
      </c>
    </row>
    <row r="19" spans="2:20" ht="14.25" customHeight="1">
      <c r="B19" s="1462"/>
      <c r="C19" s="418" t="s">
        <v>769</v>
      </c>
      <c r="D19" s="415">
        <v>0</v>
      </c>
      <c r="E19" s="416">
        <v>0</v>
      </c>
      <c r="F19" s="416">
        <v>0</v>
      </c>
      <c r="G19" s="416">
        <v>0</v>
      </c>
      <c r="H19" s="417">
        <v>0</v>
      </c>
      <c r="I19" s="415">
        <v>0</v>
      </c>
      <c r="J19" s="416">
        <v>0</v>
      </c>
      <c r="K19" s="416">
        <v>0</v>
      </c>
      <c r="L19" s="416">
        <v>0</v>
      </c>
      <c r="M19" s="417">
        <v>0</v>
      </c>
      <c r="N19" s="395"/>
      <c r="O19" s="1038">
        <v>0</v>
      </c>
      <c r="P19" s="1039">
        <v>0</v>
      </c>
      <c r="Q19" s="1040">
        <v>0</v>
      </c>
      <c r="R19" s="280"/>
      <c r="S19" s="1038">
        <v>0</v>
      </c>
      <c r="T19" s="1041" t="s">
        <v>708</v>
      </c>
    </row>
    <row r="20" spans="2:20" ht="14.25" customHeight="1">
      <c r="B20" s="1462"/>
      <c r="C20" s="418" t="s">
        <v>882</v>
      </c>
      <c r="D20" s="415">
        <v>3.5795704956106302</v>
      </c>
      <c r="E20" s="416">
        <v>4.879804205785705</v>
      </c>
      <c r="F20" s="416">
        <v>4.18545899740133</v>
      </c>
      <c r="G20" s="416">
        <v>4.800283116745075</v>
      </c>
      <c r="H20" s="417">
        <v>4.780538934122532</v>
      </c>
      <c r="I20" s="415">
        <v>5.723007632818511</v>
      </c>
      <c r="J20" s="416">
        <v>7.157611106506624</v>
      </c>
      <c r="K20" s="416">
        <v>7.873180426910181</v>
      </c>
      <c r="L20" s="416">
        <v>6.511004968171525</v>
      </c>
      <c r="M20" s="417">
        <v>8.561392052366775</v>
      </c>
      <c r="N20" s="395"/>
      <c r="O20" s="1038">
        <v>12.644833698797665</v>
      </c>
      <c r="P20" s="1039">
        <v>9.580822050867607</v>
      </c>
      <c r="Q20" s="1040">
        <v>22.225655749665272</v>
      </c>
      <c r="R20" s="280"/>
      <c r="S20" s="1038">
        <v>35.82619618677362</v>
      </c>
      <c r="T20" s="1041">
        <v>0.6119297711750611</v>
      </c>
    </row>
    <row r="21" spans="2:20" ht="14.25" customHeight="1">
      <c r="B21" s="1462"/>
      <c r="C21" s="414" t="s">
        <v>472</v>
      </c>
      <c r="D21" s="415">
        <v>0.1988650275339239</v>
      </c>
      <c r="E21" s="416">
        <v>0.8962905684096192</v>
      </c>
      <c r="F21" s="416">
        <v>0.6975764995668883</v>
      </c>
      <c r="G21" s="416">
        <v>0.8930759286967581</v>
      </c>
      <c r="H21" s="417">
        <v>1.2229285645429737</v>
      </c>
      <c r="I21" s="415">
        <v>1.9076692109395044</v>
      </c>
      <c r="J21" s="416">
        <v>1.9709363916467515</v>
      </c>
      <c r="K21" s="416">
        <v>2.2790785446318944</v>
      </c>
      <c r="L21" s="416">
        <v>2.4803828450177234</v>
      </c>
      <c r="M21" s="417">
        <v>2.8189949440719873</v>
      </c>
      <c r="N21" s="395"/>
      <c r="O21" s="1038">
        <v>1.7927320955104313</v>
      </c>
      <c r="P21" s="1039">
        <v>2.116004493239732</v>
      </c>
      <c r="Q21" s="1040">
        <v>3.908736588750163</v>
      </c>
      <c r="R21" s="280"/>
      <c r="S21" s="1038">
        <v>11.457061936307861</v>
      </c>
      <c r="T21" s="1041">
        <v>1.9311419882533734</v>
      </c>
    </row>
    <row r="22" spans="2:20" ht="14.25" customHeight="1">
      <c r="B22" s="1462"/>
      <c r="C22" s="414" t="s">
        <v>473</v>
      </c>
      <c r="D22" s="415">
        <v>2.187515302873163</v>
      </c>
      <c r="E22" s="416">
        <v>0.8962905684096192</v>
      </c>
      <c r="F22" s="416">
        <v>1.8934219273958397</v>
      </c>
      <c r="G22" s="416">
        <v>2.1210553306548006</v>
      </c>
      <c r="H22" s="417">
        <v>3.001733749332754</v>
      </c>
      <c r="I22" s="415">
        <v>3.0734670620692013</v>
      </c>
      <c r="J22" s="416">
        <v>3.008271334618726</v>
      </c>
      <c r="K22" s="416">
        <v>3.0042398997420423</v>
      </c>
      <c r="L22" s="416">
        <v>2.9971292710630824</v>
      </c>
      <c r="M22" s="417">
        <v>3.0278093843736156</v>
      </c>
      <c r="N22" s="395"/>
      <c r="O22" s="1038">
        <v>4.977227798678621</v>
      </c>
      <c r="P22" s="1039">
        <v>5.122789079987554</v>
      </c>
      <c r="Q22" s="1040">
        <v>10.100016878666175</v>
      </c>
      <c r="R22" s="280"/>
      <c r="S22" s="1038">
        <v>15.110916951866667</v>
      </c>
      <c r="T22" s="1041">
        <v>0.49612789101222177</v>
      </c>
    </row>
    <row r="23" spans="2:20" ht="14.25" customHeight="1">
      <c r="B23" s="1462" t="s">
        <v>815</v>
      </c>
      <c r="C23" s="414" t="s">
        <v>883</v>
      </c>
      <c r="D23" s="415">
        <v>0.3977300550678478</v>
      </c>
      <c r="E23" s="416">
        <v>0.09958784093440214</v>
      </c>
      <c r="F23" s="416">
        <v>0</v>
      </c>
      <c r="G23" s="416">
        <v>2.4559588039160856</v>
      </c>
      <c r="H23" s="417">
        <v>0.44470129619744503</v>
      </c>
      <c r="I23" s="415">
        <v>0.42392649131988985</v>
      </c>
      <c r="J23" s="416">
        <v>4.0456062775907</v>
      </c>
      <c r="K23" s="416">
        <v>3.8329957341536405</v>
      </c>
      <c r="L23" s="416">
        <v>6.511004968171523</v>
      </c>
      <c r="M23" s="417">
        <v>2.505773283619544</v>
      </c>
      <c r="N23" s="395"/>
      <c r="O23" s="1038">
        <v>0.49731789600224996</v>
      </c>
      <c r="P23" s="1039">
        <v>2.9006601001135306</v>
      </c>
      <c r="Q23" s="1040">
        <v>3.3979779961157806</v>
      </c>
      <c r="R23" s="280"/>
      <c r="S23" s="1038">
        <v>17.319306754855297</v>
      </c>
      <c r="T23" s="1041">
        <v>4.096944940388946</v>
      </c>
    </row>
    <row r="24" spans="2:20" ht="14.25" customHeight="1">
      <c r="B24" s="1462"/>
      <c r="C24" s="414" t="s">
        <v>634</v>
      </c>
      <c r="D24" s="415">
        <v>0.7954601101356955</v>
      </c>
      <c r="E24" s="416">
        <v>1.0954662502784234</v>
      </c>
      <c r="F24" s="416">
        <v>1.1958454278289514</v>
      </c>
      <c r="G24" s="416">
        <v>0.11163449108709478</v>
      </c>
      <c r="H24" s="417">
        <v>0.11117532404936126</v>
      </c>
      <c r="I24" s="415">
        <v>3.073467062069201</v>
      </c>
      <c r="J24" s="416">
        <v>1.5560024144579616</v>
      </c>
      <c r="K24" s="416">
        <v>0</v>
      </c>
      <c r="L24" s="416">
        <v>1.3435407077179335</v>
      </c>
      <c r="M24" s="417">
        <v>0.4176288806032574</v>
      </c>
      <c r="N24" s="395"/>
      <c r="O24" s="1038">
        <v>3.0867717882430705</v>
      </c>
      <c r="P24" s="1039">
        <v>0.22280981513645604</v>
      </c>
      <c r="Q24" s="1040">
        <v>3.309581603379527</v>
      </c>
      <c r="R24" s="280"/>
      <c r="S24" s="1038">
        <v>6.3906390648483535</v>
      </c>
      <c r="T24" s="1041">
        <v>0.9309507456539683</v>
      </c>
    </row>
    <row r="25" spans="2:20" ht="14.25" customHeight="1">
      <c r="B25" s="1462"/>
      <c r="C25" s="414" t="s">
        <v>769</v>
      </c>
      <c r="D25" s="415">
        <v>0</v>
      </c>
      <c r="E25" s="416">
        <v>0</v>
      </c>
      <c r="F25" s="416">
        <v>0</v>
      </c>
      <c r="G25" s="416">
        <v>0</v>
      </c>
      <c r="H25" s="417">
        <v>0</v>
      </c>
      <c r="I25" s="415">
        <v>0</v>
      </c>
      <c r="J25" s="416">
        <v>0</v>
      </c>
      <c r="K25" s="416">
        <v>0</v>
      </c>
      <c r="L25" s="416">
        <v>0</v>
      </c>
      <c r="M25" s="417">
        <v>0</v>
      </c>
      <c r="N25" s="395"/>
      <c r="O25" s="1038">
        <v>0</v>
      </c>
      <c r="P25" s="1039">
        <v>0</v>
      </c>
      <c r="Q25" s="1040">
        <v>0</v>
      </c>
      <c r="R25" s="280"/>
      <c r="S25" s="1038">
        <v>0</v>
      </c>
      <c r="T25" s="1041" t="s">
        <v>708</v>
      </c>
    </row>
    <row r="26" spans="2:20" ht="14.25" customHeight="1">
      <c r="B26" s="1462"/>
      <c r="C26" s="414" t="s">
        <v>882</v>
      </c>
      <c r="D26" s="415">
        <v>0</v>
      </c>
      <c r="E26" s="416">
        <v>0.2987635228032064</v>
      </c>
      <c r="F26" s="416">
        <v>0</v>
      </c>
      <c r="G26" s="416">
        <v>2.6792277860902742</v>
      </c>
      <c r="H26" s="417">
        <v>0.8894025923948901</v>
      </c>
      <c r="I26" s="415">
        <v>1.483742719619614</v>
      </c>
      <c r="J26" s="416">
        <v>4.253073266185096</v>
      </c>
      <c r="K26" s="416">
        <v>0.6215668758086984</v>
      </c>
      <c r="L26" s="416">
        <v>2.170334989390508</v>
      </c>
      <c r="M26" s="417">
        <v>5.115953787389903</v>
      </c>
      <c r="N26" s="395"/>
      <c r="O26" s="1038">
        <v>0.2987635228032064</v>
      </c>
      <c r="P26" s="1039">
        <v>3.5686303784851643</v>
      </c>
      <c r="Q26" s="1040">
        <v>3.867393901288371</v>
      </c>
      <c r="R26" s="280"/>
      <c r="S26" s="1038">
        <v>13.64467163839382</v>
      </c>
      <c r="T26" s="1041">
        <v>2.528130825734684</v>
      </c>
    </row>
    <row r="27" spans="2:20" ht="14.25" customHeight="1">
      <c r="B27" s="1462"/>
      <c r="C27" s="414" t="s">
        <v>472</v>
      </c>
      <c r="D27" s="415">
        <v>0.7954601101356956</v>
      </c>
      <c r="E27" s="416">
        <v>2.8880473870976617</v>
      </c>
      <c r="F27" s="416">
        <v>2.1923832843530775</v>
      </c>
      <c r="G27" s="416">
        <v>1.562882875219327</v>
      </c>
      <c r="H27" s="417">
        <v>0.5558766202468062</v>
      </c>
      <c r="I27" s="415">
        <v>0.21196324565994493</v>
      </c>
      <c r="J27" s="416">
        <v>1.7634694030523566</v>
      </c>
      <c r="K27" s="416">
        <v>1.0359447930144974</v>
      </c>
      <c r="L27" s="416">
        <v>0.41339714083628726</v>
      </c>
      <c r="M27" s="417">
        <v>0.626443320904886</v>
      </c>
      <c r="N27" s="395"/>
      <c r="O27" s="1038">
        <v>5.875890781586435</v>
      </c>
      <c r="P27" s="1039">
        <v>2.118759495466133</v>
      </c>
      <c r="Q27" s="1040">
        <v>7.994650277052568</v>
      </c>
      <c r="R27" s="280"/>
      <c r="S27" s="1038">
        <v>4.051217903467972</v>
      </c>
      <c r="T27" s="1041">
        <v>-0.4932588965027802</v>
      </c>
    </row>
    <row r="28" spans="2:20" ht="14.25" customHeight="1">
      <c r="B28" s="1462"/>
      <c r="C28" s="419" t="s">
        <v>473</v>
      </c>
      <c r="D28" s="415">
        <v>1.889217761572277</v>
      </c>
      <c r="E28" s="416">
        <v>0.7967027274752171</v>
      </c>
      <c r="F28" s="416">
        <v>1.295499213481364</v>
      </c>
      <c r="G28" s="416">
        <v>2.3443243128289906</v>
      </c>
      <c r="H28" s="417">
        <v>2.0011558328885024</v>
      </c>
      <c r="I28" s="415">
        <v>1.165797851129697</v>
      </c>
      <c r="J28" s="416">
        <v>0.7261344600803822</v>
      </c>
      <c r="K28" s="416">
        <v>0.5179723965072487</v>
      </c>
      <c r="L28" s="416">
        <v>0.7234449964635027</v>
      </c>
      <c r="M28" s="417">
        <v>2.610180503770359</v>
      </c>
      <c r="N28" s="395"/>
      <c r="O28" s="1038">
        <v>3.981419702528858</v>
      </c>
      <c r="P28" s="1039">
        <v>4.345480145717493</v>
      </c>
      <c r="Q28" s="1040">
        <v>8.32689984824635</v>
      </c>
      <c r="R28" s="280"/>
      <c r="S28" s="1038">
        <v>5.743530207951189</v>
      </c>
      <c r="T28" s="1041">
        <v>-0.31024387075331766</v>
      </c>
    </row>
    <row r="29" spans="2:20" ht="14.25" customHeight="1">
      <c r="B29" s="1462" t="s">
        <v>813</v>
      </c>
      <c r="C29" s="420" t="s">
        <v>883</v>
      </c>
      <c r="D29" s="415">
        <v>0.09943251376696195</v>
      </c>
      <c r="E29" s="416">
        <v>4.581040682982498</v>
      </c>
      <c r="F29" s="416">
        <v>6.975764995668883</v>
      </c>
      <c r="G29" s="416">
        <v>12.503063001754615</v>
      </c>
      <c r="H29" s="417">
        <v>6.2258181467642295</v>
      </c>
      <c r="I29" s="415">
        <v>4.451228158858844</v>
      </c>
      <c r="J29" s="416">
        <v>3.8381392889963055</v>
      </c>
      <c r="K29" s="416">
        <v>4.868940527168137</v>
      </c>
      <c r="L29" s="416">
        <v>4.237320693571944</v>
      </c>
      <c r="M29" s="417">
        <v>2.088144403016287</v>
      </c>
      <c r="N29" s="395"/>
      <c r="O29" s="1038">
        <v>11.656238192418343</v>
      </c>
      <c r="P29" s="1039">
        <v>18.728881148518845</v>
      </c>
      <c r="Q29" s="1040">
        <v>30.385119340937187</v>
      </c>
      <c r="R29" s="280"/>
      <c r="S29" s="1038">
        <v>19.483773071611516</v>
      </c>
      <c r="T29" s="1041">
        <v>-0.35877253424634514</v>
      </c>
    </row>
    <row r="30" spans="2:20" ht="14.25" customHeight="1">
      <c r="B30" s="1462"/>
      <c r="C30" s="414" t="s">
        <v>634</v>
      </c>
      <c r="D30" s="415">
        <v>6.363680881085565</v>
      </c>
      <c r="E30" s="416">
        <v>9.85919625250581</v>
      </c>
      <c r="F30" s="416">
        <v>3.9861514260965047</v>
      </c>
      <c r="G30" s="416">
        <v>0.11163449108709478</v>
      </c>
      <c r="H30" s="417">
        <v>1.4452792126416962</v>
      </c>
      <c r="I30" s="415">
        <v>6.676842238288264</v>
      </c>
      <c r="J30" s="416">
        <v>0</v>
      </c>
      <c r="K30" s="416">
        <v>4.1437791720579895</v>
      </c>
      <c r="L30" s="416">
        <v>8.888038527980177</v>
      </c>
      <c r="M30" s="417">
        <v>13.781753059907492</v>
      </c>
      <c r="N30" s="395"/>
      <c r="O30" s="1038">
        <v>20.20902855968788</v>
      </c>
      <c r="P30" s="1039">
        <v>1.556913703728791</v>
      </c>
      <c r="Q30" s="1040">
        <v>21.765942263416672</v>
      </c>
      <c r="R30" s="280"/>
      <c r="S30" s="1038">
        <v>33.49041299823392</v>
      </c>
      <c r="T30" s="1041">
        <v>0.5386612990572557</v>
      </c>
    </row>
    <row r="31" spans="2:20" ht="14.25" customHeight="1">
      <c r="B31" s="1462"/>
      <c r="C31" s="419" t="s">
        <v>635</v>
      </c>
      <c r="D31" s="415">
        <v>0</v>
      </c>
      <c r="E31" s="416">
        <v>0</v>
      </c>
      <c r="F31" s="416">
        <v>0</v>
      </c>
      <c r="G31" s="416">
        <v>0</v>
      </c>
      <c r="H31" s="417">
        <v>0</v>
      </c>
      <c r="I31" s="415">
        <v>0</v>
      </c>
      <c r="J31" s="416">
        <v>0</v>
      </c>
      <c r="K31" s="416">
        <v>0</v>
      </c>
      <c r="L31" s="416">
        <v>0</v>
      </c>
      <c r="M31" s="417">
        <v>0</v>
      </c>
      <c r="N31" s="395"/>
      <c r="O31" s="1038">
        <v>0</v>
      </c>
      <c r="P31" s="1039">
        <v>0</v>
      </c>
      <c r="Q31" s="1040">
        <v>0</v>
      </c>
      <c r="R31" s="280"/>
      <c r="S31" s="1038">
        <v>0</v>
      </c>
      <c r="T31" s="1041" t="s">
        <v>708</v>
      </c>
    </row>
    <row r="32" spans="2:20" ht="14.25" customHeight="1">
      <c r="B32" s="1462"/>
      <c r="C32" s="419" t="s">
        <v>882</v>
      </c>
      <c r="D32" s="415">
        <v>9.744386349162271</v>
      </c>
      <c r="E32" s="416">
        <v>3.087223068966466</v>
      </c>
      <c r="F32" s="416">
        <v>11.858800492637101</v>
      </c>
      <c r="G32" s="416">
        <v>8.372586831532109</v>
      </c>
      <c r="H32" s="417">
        <v>0.3335259721480837</v>
      </c>
      <c r="I32" s="415">
        <v>8.16058495790788</v>
      </c>
      <c r="J32" s="416">
        <v>7.157611106506625</v>
      </c>
      <c r="K32" s="416">
        <v>12.949309912681217</v>
      </c>
      <c r="L32" s="416">
        <v>10.644976376534398</v>
      </c>
      <c r="M32" s="417">
        <v>8.248170391914332</v>
      </c>
      <c r="N32" s="395"/>
      <c r="O32" s="1038">
        <v>24.690409910765837</v>
      </c>
      <c r="P32" s="1039">
        <v>8.706112803680194</v>
      </c>
      <c r="Q32" s="1040">
        <v>33.39652271444603</v>
      </c>
      <c r="R32" s="280"/>
      <c r="S32" s="1038">
        <v>47.16065274554445</v>
      </c>
      <c r="T32" s="1041">
        <v>0.41214260983957474</v>
      </c>
    </row>
    <row r="33" spans="2:20" ht="14.25" customHeight="1">
      <c r="B33" s="1462"/>
      <c r="C33" s="419" t="s">
        <v>472</v>
      </c>
      <c r="D33" s="415">
        <v>1.590920220271391</v>
      </c>
      <c r="E33" s="416">
        <v>8.664142161292986</v>
      </c>
      <c r="F33" s="416">
        <v>2.8899597839199656</v>
      </c>
      <c r="G33" s="416">
        <v>1.3396138930451373</v>
      </c>
      <c r="H33" s="417">
        <v>0.5558766202468062</v>
      </c>
      <c r="I33" s="415">
        <v>2.6495405707493114</v>
      </c>
      <c r="J33" s="416">
        <v>8.091212555181402</v>
      </c>
      <c r="K33" s="416">
        <v>10.359447930144972</v>
      </c>
      <c r="L33" s="416">
        <v>4.54736854919916</v>
      </c>
      <c r="M33" s="417">
        <v>2.6101805037703585</v>
      </c>
      <c r="N33" s="395"/>
      <c r="O33" s="1038">
        <v>13.145022165484342</v>
      </c>
      <c r="P33" s="1039">
        <v>1.8954905132919435</v>
      </c>
      <c r="Q33" s="1040">
        <v>15.040512678776285</v>
      </c>
      <c r="R33" s="280"/>
      <c r="S33" s="1038">
        <v>28.2577501090452</v>
      </c>
      <c r="T33" s="1041">
        <v>0.8787757247743159</v>
      </c>
    </row>
    <row r="34" spans="2:20" ht="14.25" customHeight="1">
      <c r="B34" s="1462"/>
      <c r="C34" s="419" t="s">
        <v>473</v>
      </c>
      <c r="D34" s="415">
        <v>0.2982975413008858</v>
      </c>
      <c r="E34" s="416">
        <v>1.6929932958848362</v>
      </c>
      <c r="F34" s="416">
        <v>0</v>
      </c>
      <c r="G34" s="416">
        <v>0</v>
      </c>
      <c r="H34" s="417">
        <v>0</v>
      </c>
      <c r="I34" s="415">
        <v>1.1697794739596694</v>
      </c>
      <c r="J34" s="416">
        <v>0.6771344600803821</v>
      </c>
      <c r="K34" s="416">
        <v>0.48297239650724866</v>
      </c>
      <c r="L34" s="416">
        <v>0.7707942816725745</v>
      </c>
      <c r="M34" s="417">
        <v>0.48203610075407166</v>
      </c>
      <c r="N34" s="395"/>
      <c r="O34" s="1038">
        <v>1.9912908371857219</v>
      </c>
      <c r="P34" s="1039">
        <v>0</v>
      </c>
      <c r="Q34" s="1040">
        <v>1.9912908371857219</v>
      </c>
      <c r="R34" s="280"/>
      <c r="S34" s="1038">
        <v>3.5827167129739466</v>
      </c>
      <c r="T34" s="1041">
        <v>0.7991930892613237</v>
      </c>
    </row>
    <row r="35" spans="2:20" ht="15.75" thickBot="1">
      <c r="B35" s="421" t="s">
        <v>636</v>
      </c>
      <c r="C35" s="422"/>
      <c r="D35" s="423">
        <v>40.27016807561959</v>
      </c>
      <c r="E35" s="424">
        <v>57.56177206008443</v>
      </c>
      <c r="F35" s="424">
        <v>64.7749606740682</v>
      </c>
      <c r="G35" s="424">
        <v>61.845508062250516</v>
      </c>
      <c r="H35" s="425">
        <v>44.58130494379385</v>
      </c>
      <c r="I35" s="423">
        <v>63.69893694364341</v>
      </c>
      <c r="J35" s="424">
        <v>68.51883973044751</v>
      </c>
      <c r="K35" s="424">
        <v>77.8680484346902</v>
      </c>
      <c r="L35" s="424">
        <v>79.41960032577624</v>
      </c>
      <c r="M35" s="425">
        <v>82.02407503854008</v>
      </c>
      <c r="N35" s="395"/>
      <c r="O35" s="1042">
        <v>162.6069008097722</v>
      </c>
      <c r="P35" s="1043">
        <v>106.42681300604437</v>
      </c>
      <c r="Q35" s="1044">
        <v>269.03371381581655</v>
      </c>
      <c r="R35" s="280"/>
      <c r="S35" s="1042">
        <v>371.5295004730974</v>
      </c>
      <c r="T35" s="1045">
        <v>0.3809774812366104</v>
      </c>
    </row>
    <row r="36" spans="2:20" ht="15">
      <c r="B36" s="426"/>
      <c r="C36" s="426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395"/>
      <c r="O36" s="395"/>
      <c r="P36" s="395"/>
      <c r="Q36" s="395"/>
      <c r="R36" s="428"/>
      <c r="S36" s="428"/>
      <c r="T36" s="428"/>
    </row>
    <row r="37" spans="2:20" ht="14.25"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428"/>
      <c r="S37" s="428"/>
      <c r="T37" s="428"/>
    </row>
    <row r="38" spans="2:20" ht="15">
      <c r="B38" s="393" t="s">
        <v>645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428"/>
      <c r="O38" s="395"/>
      <c r="P38" s="395"/>
      <c r="Q38" s="395"/>
      <c r="R38" s="428"/>
      <c r="S38" s="428"/>
      <c r="T38" s="428"/>
    </row>
    <row r="39" spans="2:20" ht="15" thickBot="1"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280"/>
      <c r="O39" s="395"/>
      <c r="P39" s="395"/>
      <c r="Q39" s="395"/>
      <c r="R39" s="428"/>
      <c r="S39" s="428"/>
      <c r="T39" s="428"/>
    </row>
    <row r="40" spans="2:20" ht="15">
      <c r="B40" s="397" t="s">
        <v>479</v>
      </c>
      <c r="C40" s="398"/>
      <c r="D40" s="400" t="s">
        <v>480</v>
      </c>
      <c r="E40" s="400"/>
      <c r="F40" s="400"/>
      <c r="G40" s="400"/>
      <c r="H40" s="401"/>
      <c r="I40" s="399" t="s">
        <v>481</v>
      </c>
      <c r="J40" s="400"/>
      <c r="K40" s="400"/>
      <c r="L40" s="400"/>
      <c r="M40" s="401"/>
      <c r="N40" s="280"/>
      <c r="O40" s="1027" t="s">
        <v>482</v>
      </c>
      <c r="P40" s="1028"/>
      <c r="Q40" s="1029"/>
      <c r="R40" s="280"/>
      <c r="S40" s="1027" t="s">
        <v>483</v>
      </c>
      <c r="T40" s="1029"/>
    </row>
    <row r="41" spans="2:20" ht="15">
      <c r="B41" s="402"/>
      <c r="C41" s="403"/>
      <c r="D41" s="409" t="s">
        <v>674</v>
      </c>
      <c r="E41" s="405" t="s">
        <v>675</v>
      </c>
      <c r="F41" s="405" t="s">
        <v>535</v>
      </c>
      <c r="G41" s="405" t="s">
        <v>676</v>
      </c>
      <c r="H41" s="406" t="s">
        <v>538</v>
      </c>
      <c r="I41" s="404" t="s">
        <v>484</v>
      </c>
      <c r="J41" s="405" t="s">
        <v>785</v>
      </c>
      <c r="K41" s="405" t="s">
        <v>786</v>
      </c>
      <c r="L41" s="405" t="s">
        <v>787</v>
      </c>
      <c r="M41" s="406" t="s">
        <v>788</v>
      </c>
      <c r="N41" s="280"/>
      <c r="O41" s="1030" t="s">
        <v>775</v>
      </c>
      <c r="P41" s="1031" t="s">
        <v>776</v>
      </c>
      <c r="Q41" s="1032" t="s">
        <v>816</v>
      </c>
      <c r="R41" s="280"/>
      <c r="S41" s="1030" t="s">
        <v>776</v>
      </c>
      <c r="T41" s="1032" t="s">
        <v>777</v>
      </c>
    </row>
    <row r="42" spans="2:20" ht="18">
      <c r="B42" s="407"/>
      <c r="C42" s="408"/>
      <c r="D42" s="409" t="s">
        <v>660</v>
      </c>
      <c r="E42" s="405" t="s">
        <v>660</v>
      </c>
      <c r="F42" s="405" t="s">
        <v>660</v>
      </c>
      <c r="G42" s="405" t="s">
        <v>660</v>
      </c>
      <c r="H42" s="406" t="s">
        <v>660</v>
      </c>
      <c r="I42" s="409" t="s">
        <v>660</v>
      </c>
      <c r="J42" s="405" t="s">
        <v>660</v>
      </c>
      <c r="K42" s="405" t="s">
        <v>660</v>
      </c>
      <c r="L42" s="405" t="s">
        <v>660</v>
      </c>
      <c r="M42" s="406" t="s">
        <v>660</v>
      </c>
      <c r="N42" s="395"/>
      <c r="O42" s="1033"/>
      <c r="P42" s="1034"/>
      <c r="Q42" s="1035"/>
      <c r="R42" s="280"/>
      <c r="S42" s="1036"/>
      <c r="T42" s="1037"/>
    </row>
    <row r="43" spans="2:20" ht="14.25" customHeight="1">
      <c r="B43" s="1466" t="s">
        <v>745</v>
      </c>
      <c r="C43" s="410" t="s">
        <v>746</v>
      </c>
      <c r="D43" s="429">
        <v>0.2982975413008858</v>
      </c>
      <c r="E43" s="429">
        <v>0</v>
      </c>
      <c r="F43" s="429">
        <v>0.19930757130482524</v>
      </c>
      <c r="G43" s="429">
        <v>0.8930759286967582</v>
      </c>
      <c r="H43" s="430">
        <v>1.1117532404936123</v>
      </c>
      <c r="I43" s="431">
        <v>2.331595702259394</v>
      </c>
      <c r="J43" s="432">
        <v>2.385870368835541</v>
      </c>
      <c r="K43" s="432">
        <v>2.5898619825362434</v>
      </c>
      <c r="L43" s="432">
        <v>2.687081415435867</v>
      </c>
      <c r="M43" s="433">
        <v>2.9234021642228014</v>
      </c>
      <c r="N43" s="395"/>
      <c r="O43" s="1038">
        <v>0.49760511260571105</v>
      </c>
      <c r="P43" s="1039">
        <v>2.0048291691903706</v>
      </c>
      <c r="Q43" s="1040">
        <v>2.5024342817960816</v>
      </c>
      <c r="R43" s="280"/>
      <c r="S43" s="1038">
        <v>12.917811633289846</v>
      </c>
      <c r="T43" s="1041">
        <v>4.162098252593589</v>
      </c>
    </row>
    <row r="44" spans="2:20" ht="14.25" customHeight="1">
      <c r="B44" s="1461"/>
      <c r="C44" s="414" t="s">
        <v>747</v>
      </c>
      <c r="D44" s="434">
        <v>1.0937576514365814</v>
      </c>
      <c r="E44" s="434">
        <v>1.7925811368192384</v>
      </c>
      <c r="F44" s="434">
        <v>3.587536283486854</v>
      </c>
      <c r="G44" s="434">
        <v>0.22326898217418956</v>
      </c>
      <c r="H44" s="435">
        <v>0.7782272683455287</v>
      </c>
      <c r="I44" s="436">
        <v>0.3179448684899174</v>
      </c>
      <c r="J44" s="437">
        <v>0.4149339771887899</v>
      </c>
      <c r="K44" s="437">
        <v>0.414377917205799</v>
      </c>
      <c r="L44" s="437">
        <v>0.5167464260453591</v>
      </c>
      <c r="M44" s="438">
        <v>0.626443320904886</v>
      </c>
      <c r="N44" s="395"/>
      <c r="O44" s="1038">
        <v>6.473875071742674</v>
      </c>
      <c r="P44" s="1039">
        <v>1.0014962505197182</v>
      </c>
      <c r="Q44" s="1040">
        <v>7.475371322262392</v>
      </c>
      <c r="R44" s="280"/>
      <c r="S44" s="1038">
        <v>2.2904465098347515</v>
      </c>
      <c r="T44" s="1041">
        <v>-0.693600971631526</v>
      </c>
    </row>
    <row r="45" spans="2:20" ht="14.25" customHeight="1">
      <c r="B45" s="1461" t="s">
        <v>748</v>
      </c>
      <c r="C45" s="414" t="s">
        <v>746</v>
      </c>
      <c r="D45" s="434">
        <v>0</v>
      </c>
      <c r="E45" s="434">
        <v>0</v>
      </c>
      <c r="F45" s="434">
        <v>0</v>
      </c>
      <c r="G45" s="434">
        <v>0</v>
      </c>
      <c r="H45" s="435">
        <v>0</v>
      </c>
      <c r="I45" s="436">
        <v>0</v>
      </c>
      <c r="J45" s="437">
        <v>0</v>
      </c>
      <c r="K45" s="437">
        <v>0</v>
      </c>
      <c r="L45" s="437">
        <v>0</v>
      </c>
      <c r="M45" s="438">
        <v>0</v>
      </c>
      <c r="N45" s="395"/>
      <c r="O45" s="1038">
        <v>0</v>
      </c>
      <c r="P45" s="1039">
        <v>0</v>
      </c>
      <c r="Q45" s="1040">
        <v>0</v>
      </c>
      <c r="R45" s="280"/>
      <c r="S45" s="1038">
        <v>0</v>
      </c>
      <c r="T45" s="1041" t="s">
        <v>708</v>
      </c>
    </row>
    <row r="46" spans="2:20" ht="14.25" customHeight="1">
      <c r="B46" s="1461"/>
      <c r="C46" s="414" t="s">
        <v>747</v>
      </c>
      <c r="D46" s="434">
        <v>0</v>
      </c>
      <c r="E46" s="437">
        <v>0</v>
      </c>
      <c r="F46" s="437">
        <v>0</v>
      </c>
      <c r="G46" s="437">
        <v>0</v>
      </c>
      <c r="H46" s="438">
        <v>0</v>
      </c>
      <c r="I46" s="436">
        <v>0</v>
      </c>
      <c r="J46" s="437">
        <v>0</v>
      </c>
      <c r="K46" s="437">
        <v>0</v>
      </c>
      <c r="L46" s="437">
        <v>0</v>
      </c>
      <c r="M46" s="438">
        <v>0</v>
      </c>
      <c r="N46" s="395"/>
      <c r="O46" s="1038">
        <v>0</v>
      </c>
      <c r="P46" s="1039">
        <v>0</v>
      </c>
      <c r="Q46" s="1040">
        <v>0</v>
      </c>
      <c r="R46" s="280"/>
      <c r="S46" s="1038">
        <v>0</v>
      </c>
      <c r="T46" s="1041" t="s">
        <v>708</v>
      </c>
    </row>
    <row r="47" spans="2:20" ht="14.25" customHeight="1">
      <c r="B47" s="1462" t="s">
        <v>598</v>
      </c>
      <c r="C47" s="414" t="s">
        <v>778</v>
      </c>
      <c r="D47" s="439">
        <v>0</v>
      </c>
      <c r="E47" s="440">
        <v>0.5975270456064128</v>
      </c>
      <c r="F47" s="440">
        <v>0.5979227139144757</v>
      </c>
      <c r="G47" s="440">
        <v>1.562882875219327</v>
      </c>
      <c r="H47" s="441">
        <v>1.7788051847897797</v>
      </c>
      <c r="I47" s="442">
        <v>2.861503816409256</v>
      </c>
      <c r="J47" s="440">
        <v>3.008271334618726</v>
      </c>
      <c r="K47" s="440">
        <v>3.315023337646392</v>
      </c>
      <c r="L47" s="440">
        <v>3.5138756971084417</v>
      </c>
      <c r="M47" s="441">
        <v>3.758659925429317</v>
      </c>
      <c r="N47" s="395"/>
      <c r="O47" s="1038">
        <v>1.1954497595208884</v>
      </c>
      <c r="P47" s="1039">
        <v>3.3416880600091066</v>
      </c>
      <c r="Q47" s="1040">
        <v>4.537137819529995</v>
      </c>
      <c r="R47" s="280"/>
      <c r="S47" s="1038">
        <v>16.457334111212134</v>
      </c>
      <c r="T47" s="1041">
        <v>2.627250210556081</v>
      </c>
    </row>
    <row r="48" spans="2:20" ht="14.25" customHeight="1">
      <c r="B48" s="1462"/>
      <c r="C48" s="414" t="s">
        <v>656</v>
      </c>
      <c r="D48" s="434">
        <v>1.5909202202713912</v>
      </c>
      <c r="E48" s="437">
        <v>1.9917568186880426</v>
      </c>
      <c r="F48" s="437">
        <v>5.381304425230281</v>
      </c>
      <c r="G48" s="437">
        <v>4.577014134570885</v>
      </c>
      <c r="H48" s="438">
        <v>5.669941526517422</v>
      </c>
      <c r="I48" s="436">
        <v>4.875154650178732</v>
      </c>
      <c r="J48" s="437">
        <v>6.016542669237452</v>
      </c>
      <c r="K48" s="437">
        <v>7.35520803040293</v>
      </c>
      <c r="L48" s="437">
        <v>8.57799067235296</v>
      </c>
      <c r="M48" s="438">
        <v>10.127500354628989</v>
      </c>
      <c r="N48" s="443"/>
      <c r="O48" s="1038">
        <v>8.963981464189715</v>
      </c>
      <c r="P48" s="1039">
        <v>10.246955661088307</v>
      </c>
      <c r="Q48" s="1040">
        <v>19.210937125278022</v>
      </c>
      <c r="R48" s="280"/>
      <c r="S48" s="1038">
        <v>36.95239637680106</v>
      </c>
      <c r="T48" s="1041">
        <v>0.9235082669745756</v>
      </c>
    </row>
    <row r="49" spans="2:20" ht="14.25" customHeight="1">
      <c r="B49" s="1462"/>
      <c r="C49" s="418" t="s">
        <v>882</v>
      </c>
      <c r="D49" s="434">
        <v>1.988650275339239</v>
      </c>
      <c r="E49" s="437">
        <v>2.4896960233600534</v>
      </c>
      <c r="F49" s="437">
        <v>2.29203707000549</v>
      </c>
      <c r="G49" s="437">
        <v>1.2279794019580428</v>
      </c>
      <c r="H49" s="438">
        <v>1.6676298607404185</v>
      </c>
      <c r="I49" s="436">
        <v>1.9076692109395041</v>
      </c>
      <c r="J49" s="437">
        <v>1.9709363916467517</v>
      </c>
      <c r="K49" s="437">
        <v>1.968295106727545</v>
      </c>
      <c r="L49" s="437">
        <v>2.0669857041814366</v>
      </c>
      <c r="M49" s="438">
        <v>2.192551623167101</v>
      </c>
      <c r="N49" s="443"/>
      <c r="O49" s="1038">
        <v>6.770383368704782</v>
      </c>
      <c r="P49" s="1039">
        <v>2.8956092626984615</v>
      </c>
      <c r="Q49" s="1040">
        <v>9.665992631403244</v>
      </c>
      <c r="R49" s="280"/>
      <c r="S49" s="1038">
        <v>10.106438036662338</v>
      </c>
      <c r="T49" s="1041">
        <v>0.045566495036232335</v>
      </c>
    </row>
    <row r="50" spans="2:20" ht="14.25" customHeight="1">
      <c r="B50" s="1462" t="s">
        <v>694</v>
      </c>
      <c r="C50" s="414" t="s">
        <v>883</v>
      </c>
      <c r="D50" s="439">
        <v>5.767085798483793</v>
      </c>
      <c r="E50" s="440">
        <v>9.062493525030593</v>
      </c>
      <c r="F50" s="440">
        <v>10.264339922198499</v>
      </c>
      <c r="G50" s="440">
        <v>12.391428510667518</v>
      </c>
      <c r="H50" s="441">
        <v>10.005779164442512</v>
      </c>
      <c r="I50" s="442">
        <v>9.856290923187437</v>
      </c>
      <c r="J50" s="440">
        <v>8.92108050955898</v>
      </c>
      <c r="K50" s="440">
        <v>8.287558344115979</v>
      </c>
      <c r="L50" s="440">
        <v>7.751196390680386</v>
      </c>
      <c r="M50" s="441">
        <v>7.308505410557005</v>
      </c>
      <c r="N50" s="395"/>
      <c r="O50" s="1038">
        <v>25.093919245712883</v>
      </c>
      <c r="P50" s="1039">
        <v>22.39720767511003</v>
      </c>
      <c r="Q50" s="1040">
        <v>47.49112692082291</v>
      </c>
      <c r="R50" s="280"/>
      <c r="S50" s="1038">
        <v>42.12463157809979</v>
      </c>
      <c r="T50" s="1041">
        <v>-0.1129999579009807</v>
      </c>
    </row>
    <row r="51" spans="2:20" ht="14.25" customHeight="1">
      <c r="B51" s="1462"/>
      <c r="C51" s="414" t="s">
        <v>634</v>
      </c>
      <c r="D51" s="434">
        <v>0.8948926239026576</v>
      </c>
      <c r="E51" s="437">
        <v>1.0954662502784236</v>
      </c>
      <c r="F51" s="437">
        <v>3.4878824978344416</v>
      </c>
      <c r="G51" s="437">
        <v>0.5581724554354739</v>
      </c>
      <c r="H51" s="438">
        <v>0.8894025923948901</v>
      </c>
      <c r="I51" s="436">
        <v>0.3179448684899174</v>
      </c>
      <c r="J51" s="437">
        <v>0.5186674714859872</v>
      </c>
      <c r="K51" s="437">
        <v>0.9323503137130477</v>
      </c>
      <c r="L51" s="437">
        <v>1.0334928520907183</v>
      </c>
      <c r="M51" s="438">
        <v>1.148479421658958</v>
      </c>
      <c r="N51" s="395"/>
      <c r="O51" s="1038">
        <v>5.478241372015523</v>
      </c>
      <c r="P51" s="1039">
        <v>1.447575047830364</v>
      </c>
      <c r="Q51" s="1040">
        <v>6.925816419845887</v>
      </c>
      <c r="R51" s="280"/>
      <c r="S51" s="1038">
        <v>3.9509349274386287</v>
      </c>
      <c r="T51" s="1041">
        <v>-0.42953513521997966</v>
      </c>
    </row>
    <row r="52" spans="2:20" ht="14.25" customHeight="1">
      <c r="B52" s="1462"/>
      <c r="C52" s="418" t="s">
        <v>769</v>
      </c>
      <c r="D52" s="434">
        <v>0</v>
      </c>
      <c r="E52" s="437">
        <v>0</v>
      </c>
      <c r="F52" s="437">
        <v>0</v>
      </c>
      <c r="G52" s="437">
        <v>0</v>
      </c>
      <c r="H52" s="438">
        <v>0</v>
      </c>
      <c r="I52" s="436">
        <v>0</v>
      </c>
      <c r="J52" s="437">
        <v>0</v>
      </c>
      <c r="K52" s="437">
        <v>0</v>
      </c>
      <c r="L52" s="437">
        <v>0</v>
      </c>
      <c r="M52" s="438">
        <v>0</v>
      </c>
      <c r="N52" s="395"/>
      <c r="O52" s="1038">
        <v>0</v>
      </c>
      <c r="P52" s="1039">
        <v>0</v>
      </c>
      <c r="Q52" s="1040">
        <v>0</v>
      </c>
      <c r="R52" s="280"/>
      <c r="S52" s="1038">
        <v>0</v>
      </c>
      <c r="T52" s="1041" t="s">
        <v>708</v>
      </c>
    </row>
    <row r="53" spans="2:20" ht="14.25" customHeight="1">
      <c r="B53" s="1462"/>
      <c r="C53" s="418" t="s">
        <v>882</v>
      </c>
      <c r="D53" s="434">
        <v>3.1818404405427825</v>
      </c>
      <c r="E53" s="437">
        <v>4.282277160179292</v>
      </c>
      <c r="F53" s="437">
        <v>3.687190069139267</v>
      </c>
      <c r="G53" s="437">
        <v>4.353745152396696</v>
      </c>
      <c r="H53" s="438">
        <v>4.335837637925088</v>
      </c>
      <c r="I53" s="436">
        <v>5.299081141498622</v>
      </c>
      <c r="J53" s="437">
        <v>6.742677129317834</v>
      </c>
      <c r="K53" s="437">
        <v>7.458802509704381</v>
      </c>
      <c r="L53" s="437">
        <v>6.097607827335238</v>
      </c>
      <c r="M53" s="438">
        <v>8.143763171763519</v>
      </c>
      <c r="N53" s="395"/>
      <c r="O53" s="1038">
        <v>11.151307669861342</v>
      </c>
      <c r="P53" s="1039">
        <v>8.689582790321783</v>
      </c>
      <c r="Q53" s="1040">
        <v>19.840890460183125</v>
      </c>
      <c r="R53" s="280"/>
      <c r="S53" s="1038">
        <v>33.74193177961959</v>
      </c>
      <c r="T53" s="1041">
        <v>0.7006258790316493</v>
      </c>
    </row>
    <row r="54" spans="2:20" ht="14.25" customHeight="1">
      <c r="B54" s="1462"/>
      <c r="C54" s="414" t="s">
        <v>472</v>
      </c>
      <c r="D54" s="434">
        <v>0.09943251376696195</v>
      </c>
      <c r="E54" s="437">
        <v>0.49793920467201064</v>
      </c>
      <c r="F54" s="437">
        <v>0.3986151426096505</v>
      </c>
      <c r="G54" s="437">
        <v>0.6698069465225686</v>
      </c>
      <c r="H54" s="438">
        <v>1.0005779164442512</v>
      </c>
      <c r="I54" s="436">
        <v>1.377761096789642</v>
      </c>
      <c r="J54" s="437">
        <v>1.4522689201607644</v>
      </c>
      <c r="K54" s="437">
        <v>1.657511668823196</v>
      </c>
      <c r="L54" s="437">
        <v>1.8602871337632927</v>
      </c>
      <c r="M54" s="438">
        <v>2.088144403016287</v>
      </c>
      <c r="N54" s="395"/>
      <c r="O54" s="1038">
        <v>0.9959868610486231</v>
      </c>
      <c r="P54" s="1039">
        <v>1.6703848629668197</v>
      </c>
      <c r="Q54" s="1040">
        <v>2.666371724015443</v>
      </c>
      <c r="R54" s="280"/>
      <c r="S54" s="1038">
        <v>8.43597322255318</v>
      </c>
      <c r="T54" s="1041">
        <v>2.1638398902044167</v>
      </c>
    </row>
    <row r="55" spans="2:20" ht="14.25" customHeight="1">
      <c r="B55" s="1462"/>
      <c r="C55" s="414" t="s">
        <v>473</v>
      </c>
      <c r="D55" s="434">
        <v>1.3920551927374671</v>
      </c>
      <c r="E55" s="437">
        <v>0.5975270456064128</v>
      </c>
      <c r="F55" s="437">
        <v>1.1958454278289514</v>
      </c>
      <c r="G55" s="437">
        <v>1.5628828752193267</v>
      </c>
      <c r="H55" s="438">
        <v>2.4458571290859474</v>
      </c>
      <c r="I55" s="436">
        <v>2.543558947919339</v>
      </c>
      <c r="J55" s="437">
        <v>2.489603863132739</v>
      </c>
      <c r="K55" s="437">
        <v>2.4862675032347936</v>
      </c>
      <c r="L55" s="437">
        <v>2.4803828450177234</v>
      </c>
      <c r="M55" s="438">
        <v>2.505773283619544</v>
      </c>
      <c r="N55" s="395"/>
      <c r="O55" s="1038">
        <v>3.1854276661728314</v>
      </c>
      <c r="P55" s="1039">
        <v>4.008740004305274</v>
      </c>
      <c r="Q55" s="1040">
        <v>7.194167670478105</v>
      </c>
      <c r="R55" s="280"/>
      <c r="S55" s="1038">
        <v>12.50558644292414</v>
      </c>
      <c r="T55" s="1041">
        <v>0.7382951045528039</v>
      </c>
    </row>
    <row r="56" spans="2:20" ht="14.25" customHeight="1">
      <c r="B56" s="1462" t="s">
        <v>815</v>
      </c>
      <c r="C56" s="414" t="s">
        <v>883</v>
      </c>
      <c r="D56" s="439">
        <v>0.3977300550678478</v>
      </c>
      <c r="E56" s="440">
        <v>0.09958784093440214</v>
      </c>
      <c r="F56" s="440">
        <v>0</v>
      </c>
      <c r="G56" s="440">
        <v>2.4559588039160856</v>
      </c>
      <c r="H56" s="441">
        <v>0.44470129619744503</v>
      </c>
      <c r="I56" s="442">
        <v>0.42392649131988985</v>
      </c>
      <c r="J56" s="440">
        <v>4.0456062775907</v>
      </c>
      <c r="K56" s="440">
        <v>3.8329957341536405</v>
      </c>
      <c r="L56" s="440">
        <v>6.511004968171523</v>
      </c>
      <c r="M56" s="441">
        <v>2.505773283619544</v>
      </c>
      <c r="N56" s="395"/>
      <c r="O56" s="1038">
        <v>0.49731789600224996</v>
      </c>
      <c r="P56" s="1039">
        <v>2.9006601001135306</v>
      </c>
      <c r="Q56" s="1040">
        <v>3.3979779961157806</v>
      </c>
      <c r="R56" s="280"/>
      <c r="S56" s="1038">
        <v>17.319306754855297</v>
      </c>
      <c r="T56" s="1041">
        <v>4.096944940388946</v>
      </c>
    </row>
    <row r="57" spans="2:20" ht="14.25" customHeight="1">
      <c r="B57" s="1462"/>
      <c r="C57" s="414" t="s">
        <v>634</v>
      </c>
      <c r="D57" s="434">
        <v>0.6960275963687336</v>
      </c>
      <c r="E57" s="437">
        <v>0.8962905684096192</v>
      </c>
      <c r="F57" s="437">
        <v>0.9965378565241262</v>
      </c>
      <c r="G57" s="437">
        <v>0</v>
      </c>
      <c r="H57" s="438">
        <v>0</v>
      </c>
      <c r="I57" s="436">
        <v>2.861503816409256</v>
      </c>
      <c r="J57" s="437">
        <v>1.3485354258635667</v>
      </c>
      <c r="K57" s="437">
        <v>-0.2071889586028995</v>
      </c>
      <c r="L57" s="437">
        <v>1.13684213729979</v>
      </c>
      <c r="M57" s="438">
        <v>0.2088144403016287</v>
      </c>
      <c r="N57" s="395"/>
      <c r="O57" s="1038">
        <v>2.588856021302479</v>
      </c>
      <c r="P57" s="1039">
        <v>0</v>
      </c>
      <c r="Q57" s="1040">
        <v>2.588856021302479</v>
      </c>
      <c r="R57" s="280"/>
      <c r="S57" s="1038">
        <v>5.348506861271341</v>
      </c>
      <c r="T57" s="1041">
        <v>1.0659730851236964</v>
      </c>
    </row>
    <row r="58" spans="2:20" ht="14.25" customHeight="1">
      <c r="B58" s="1462"/>
      <c r="C58" s="414" t="s">
        <v>769</v>
      </c>
      <c r="D58" s="434">
        <v>0</v>
      </c>
      <c r="E58" s="437">
        <v>0</v>
      </c>
      <c r="F58" s="437">
        <v>0</v>
      </c>
      <c r="G58" s="437">
        <v>0</v>
      </c>
      <c r="H58" s="438">
        <v>0</v>
      </c>
      <c r="I58" s="436">
        <v>0</v>
      </c>
      <c r="J58" s="437">
        <v>0</v>
      </c>
      <c r="K58" s="437">
        <v>0</v>
      </c>
      <c r="L58" s="437">
        <v>0</v>
      </c>
      <c r="M58" s="438">
        <v>0</v>
      </c>
      <c r="N58" s="395"/>
      <c r="O58" s="1038">
        <v>0</v>
      </c>
      <c r="P58" s="1039">
        <v>0</v>
      </c>
      <c r="Q58" s="1040">
        <v>0</v>
      </c>
      <c r="R58" s="280"/>
      <c r="S58" s="1038">
        <v>0</v>
      </c>
      <c r="T58" s="1041" t="s">
        <v>708</v>
      </c>
    </row>
    <row r="59" spans="2:20" ht="14.25" customHeight="1">
      <c r="B59" s="1462"/>
      <c r="C59" s="414" t="s">
        <v>882</v>
      </c>
      <c r="D59" s="434">
        <v>0</v>
      </c>
      <c r="E59" s="437">
        <v>0.2987635228032064</v>
      </c>
      <c r="F59" s="437">
        <v>0</v>
      </c>
      <c r="G59" s="437">
        <v>2.6792277860902742</v>
      </c>
      <c r="H59" s="438">
        <v>0.8894025923948901</v>
      </c>
      <c r="I59" s="436">
        <v>1.483742719619614</v>
      </c>
      <c r="J59" s="437">
        <v>4.253073266185096</v>
      </c>
      <c r="K59" s="437">
        <v>0.6215668758086984</v>
      </c>
      <c r="L59" s="437">
        <v>2.170334989390508</v>
      </c>
      <c r="M59" s="438">
        <v>5.115953787389903</v>
      </c>
      <c r="N59" s="395"/>
      <c r="O59" s="1038">
        <v>0.2987635228032064</v>
      </c>
      <c r="P59" s="1039">
        <v>3.5686303784851643</v>
      </c>
      <c r="Q59" s="1040">
        <v>3.867393901288371</v>
      </c>
      <c r="R59" s="280"/>
      <c r="S59" s="1038">
        <v>13.64467163839382</v>
      </c>
      <c r="T59" s="1041">
        <v>2.528130825734684</v>
      </c>
    </row>
    <row r="60" spans="2:20" ht="14.25" customHeight="1">
      <c r="B60" s="1462"/>
      <c r="C60" s="414" t="s">
        <v>472</v>
      </c>
      <c r="D60" s="434">
        <v>0</v>
      </c>
      <c r="E60" s="437">
        <v>0</v>
      </c>
      <c r="F60" s="437">
        <v>0</v>
      </c>
      <c r="G60" s="437">
        <v>0.5581724554354739</v>
      </c>
      <c r="H60" s="438">
        <v>0</v>
      </c>
      <c r="I60" s="436">
        <v>0.21196324565994493</v>
      </c>
      <c r="J60" s="437">
        <v>1.7634694030523566</v>
      </c>
      <c r="K60" s="437">
        <v>1.0359447930144974</v>
      </c>
      <c r="L60" s="437">
        <v>0.41339714083628726</v>
      </c>
      <c r="M60" s="438">
        <v>0.626443320904886</v>
      </c>
      <c r="N60" s="395"/>
      <c r="O60" s="1038">
        <v>0</v>
      </c>
      <c r="P60" s="1039">
        <v>0.5581724554354739</v>
      </c>
      <c r="Q60" s="1040">
        <v>0.5581724554354739</v>
      </c>
      <c r="R60" s="280"/>
      <c r="S60" s="1038">
        <v>4.051217903467972</v>
      </c>
      <c r="T60" s="1041">
        <v>6.258003980700374</v>
      </c>
    </row>
    <row r="61" spans="2:20" ht="14.25" customHeight="1">
      <c r="B61" s="1462"/>
      <c r="C61" s="419" t="s">
        <v>473</v>
      </c>
      <c r="D61" s="434">
        <v>1.889217761572277</v>
      </c>
      <c r="E61" s="437">
        <v>0.7967027274752171</v>
      </c>
      <c r="F61" s="437">
        <v>1.295499213481364</v>
      </c>
      <c r="G61" s="437">
        <v>2.3443243128289906</v>
      </c>
      <c r="H61" s="438">
        <v>2.0011558328885024</v>
      </c>
      <c r="I61" s="436">
        <v>1.165797851129697</v>
      </c>
      <c r="J61" s="437">
        <v>0.7261344600803822</v>
      </c>
      <c r="K61" s="437">
        <v>0.5179723965072487</v>
      </c>
      <c r="L61" s="437">
        <v>0.7234449964635027</v>
      </c>
      <c r="M61" s="438">
        <v>2.610180503770359</v>
      </c>
      <c r="N61" s="395"/>
      <c r="O61" s="1038">
        <v>3.981419702528858</v>
      </c>
      <c r="P61" s="1039">
        <v>4.345480145717493</v>
      </c>
      <c r="Q61" s="1040">
        <v>8.32689984824635</v>
      </c>
      <c r="R61" s="280"/>
      <c r="S61" s="1038">
        <v>5.743530207951189</v>
      </c>
      <c r="T61" s="1041">
        <v>-0.31024387075331766</v>
      </c>
    </row>
    <row r="62" spans="2:20" ht="14.25" customHeight="1">
      <c r="B62" s="1462" t="s">
        <v>813</v>
      </c>
      <c r="C62" s="420" t="s">
        <v>883</v>
      </c>
      <c r="D62" s="439">
        <v>0.09943251376696195</v>
      </c>
      <c r="E62" s="440">
        <v>4.581040682982498</v>
      </c>
      <c r="F62" s="440">
        <v>6.975764995668883</v>
      </c>
      <c r="G62" s="440">
        <v>12.503063001754615</v>
      </c>
      <c r="H62" s="441">
        <v>6.2258181467642295</v>
      </c>
      <c r="I62" s="442">
        <v>4.451228158858844</v>
      </c>
      <c r="J62" s="440">
        <v>3.8381392889963055</v>
      </c>
      <c r="K62" s="440">
        <v>4.868940527168137</v>
      </c>
      <c r="L62" s="440">
        <v>4.237320693571944</v>
      </c>
      <c r="M62" s="441">
        <v>2.088144403016287</v>
      </c>
      <c r="N62" s="395"/>
      <c r="O62" s="1038">
        <v>11.656238192418343</v>
      </c>
      <c r="P62" s="1039">
        <v>18.728881148518845</v>
      </c>
      <c r="Q62" s="1040">
        <v>30.385119340937187</v>
      </c>
      <c r="R62" s="280"/>
      <c r="S62" s="1038">
        <v>19.483773071611516</v>
      </c>
      <c r="T62" s="1041">
        <v>-0.35877253424634514</v>
      </c>
    </row>
    <row r="63" spans="2:20" ht="14.25" customHeight="1">
      <c r="B63" s="1462"/>
      <c r="C63" s="414" t="s">
        <v>634</v>
      </c>
      <c r="D63" s="434">
        <v>6.363680881085565</v>
      </c>
      <c r="E63" s="437">
        <v>9.85919625250581</v>
      </c>
      <c r="F63" s="437">
        <v>3.9861514260965047</v>
      </c>
      <c r="G63" s="437">
        <v>0.11163449108709478</v>
      </c>
      <c r="H63" s="438">
        <v>1.4452792126416962</v>
      </c>
      <c r="I63" s="436">
        <v>6.676842238288264</v>
      </c>
      <c r="J63" s="437">
        <v>0</v>
      </c>
      <c r="K63" s="437">
        <v>4.1437791720579895</v>
      </c>
      <c r="L63" s="437">
        <v>8.888038527980177</v>
      </c>
      <c r="M63" s="438">
        <v>13.781753059907492</v>
      </c>
      <c r="N63" s="395"/>
      <c r="O63" s="1038">
        <v>20.20902855968788</v>
      </c>
      <c r="P63" s="1039">
        <v>1.556913703728791</v>
      </c>
      <c r="Q63" s="1040">
        <v>21.765942263416672</v>
      </c>
      <c r="R63" s="280"/>
      <c r="S63" s="1038">
        <v>33.49041299823392</v>
      </c>
      <c r="T63" s="1041">
        <v>0.5386612990572557</v>
      </c>
    </row>
    <row r="64" spans="2:20" ht="14.25" customHeight="1">
      <c r="B64" s="1462"/>
      <c r="C64" s="419" t="s">
        <v>635</v>
      </c>
      <c r="D64" s="434">
        <v>0</v>
      </c>
      <c r="E64" s="437">
        <v>0</v>
      </c>
      <c r="F64" s="437">
        <v>0</v>
      </c>
      <c r="G64" s="437">
        <v>0</v>
      </c>
      <c r="H64" s="438">
        <v>0</v>
      </c>
      <c r="I64" s="436">
        <v>0</v>
      </c>
      <c r="J64" s="437">
        <v>0</v>
      </c>
      <c r="K64" s="437">
        <v>0</v>
      </c>
      <c r="L64" s="437">
        <v>0</v>
      </c>
      <c r="M64" s="438">
        <v>0</v>
      </c>
      <c r="N64" s="395"/>
      <c r="O64" s="1038">
        <v>0</v>
      </c>
      <c r="P64" s="1039">
        <v>0</v>
      </c>
      <c r="Q64" s="1040">
        <v>0</v>
      </c>
      <c r="R64" s="280"/>
      <c r="S64" s="1038">
        <v>0</v>
      </c>
      <c r="T64" s="1041" t="s">
        <v>708</v>
      </c>
    </row>
    <row r="65" spans="2:20" ht="14.25" customHeight="1">
      <c r="B65" s="1462"/>
      <c r="C65" s="419" t="s">
        <v>882</v>
      </c>
      <c r="D65" s="434">
        <v>9.744386349162271</v>
      </c>
      <c r="E65" s="437">
        <v>3.087223068966466</v>
      </c>
      <c r="F65" s="437">
        <v>11.858800492637101</v>
      </c>
      <c r="G65" s="437">
        <v>8.372586831532109</v>
      </c>
      <c r="H65" s="438">
        <v>0.3335259721480837</v>
      </c>
      <c r="I65" s="436">
        <v>8.16058495790788</v>
      </c>
      <c r="J65" s="437">
        <v>7.157611106506625</v>
      </c>
      <c r="K65" s="437">
        <v>12.949309912681217</v>
      </c>
      <c r="L65" s="437">
        <v>10.644976376534398</v>
      </c>
      <c r="M65" s="438">
        <v>8.248170391914332</v>
      </c>
      <c r="N65" s="395"/>
      <c r="O65" s="1038">
        <v>24.690409910765837</v>
      </c>
      <c r="P65" s="1039">
        <v>8.706112803680194</v>
      </c>
      <c r="Q65" s="1040">
        <v>33.39652271444603</v>
      </c>
      <c r="R65" s="280"/>
      <c r="S65" s="1038">
        <v>47.16065274554445</v>
      </c>
      <c r="T65" s="1041">
        <v>0.41214260983957474</v>
      </c>
    </row>
    <row r="66" spans="2:20" ht="14.25" customHeight="1">
      <c r="B66" s="1462"/>
      <c r="C66" s="419" t="s">
        <v>472</v>
      </c>
      <c r="D66" s="434">
        <v>1.3920551927374671</v>
      </c>
      <c r="E66" s="437">
        <v>7.46908807008016</v>
      </c>
      <c r="F66" s="437">
        <v>2.4913446413103153</v>
      </c>
      <c r="G66" s="437">
        <v>0.7814414376096633</v>
      </c>
      <c r="H66" s="438">
        <v>0</v>
      </c>
      <c r="I66" s="436">
        <v>2.0136508337694767</v>
      </c>
      <c r="J66" s="437">
        <v>7.468811589398217</v>
      </c>
      <c r="K66" s="437">
        <v>9.737881054336274</v>
      </c>
      <c r="L66" s="437">
        <v>3.9272728379447286</v>
      </c>
      <c r="M66" s="438">
        <v>1.9837371828654726</v>
      </c>
      <c r="N66" s="395"/>
      <c r="O66" s="1038">
        <v>11.352487904127942</v>
      </c>
      <c r="P66" s="1039">
        <v>0.7814414376096633</v>
      </c>
      <c r="Q66" s="1040">
        <v>12.133929341737606</v>
      </c>
      <c r="R66" s="280"/>
      <c r="S66" s="1038">
        <v>25.131353498314166</v>
      </c>
      <c r="T66" s="1041">
        <v>1.0711636593983414</v>
      </c>
    </row>
    <row r="67" spans="2:20" ht="15" customHeight="1" thickBot="1">
      <c r="B67" s="1468"/>
      <c r="C67" s="444" t="s">
        <v>473</v>
      </c>
      <c r="D67" s="445">
        <v>0.2982975413008858</v>
      </c>
      <c r="E67" s="446">
        <v>1.6929932958848362</v>
      </c>
      <c r="F67" s="446">
        <v>0</v>
      </c>
      <c r="G67" s="446">
        <v>0</v>
      </c>
      <c r="H67" s="447">
        <v>0</v>
      </c>
      <c r="I67" s="448">
        <v>1.1697794739596694</v>
      </c>
      <c r="J67" s="446">
        <v>0.6771344600803821</v>
      </c>
      <c r="K67" s="446">
        <v>0.48297239650724866</v>
      </c>
      <c r="L67" s="446">
        <v>0.7707942816725745</v>
      </c>
      <c r="M67" s="447">
        <v>0.48203610075407166</v>
      </c>
      <c r="N67" s="395"/>
      <c r="O67" s="1038">
        <v>1.9912908371857219</v>
      </c>
      <c r="P67" s="1039">
        <v>0</v>
      </c>
      <c r="Q67" s="1040">
        <v>1.9912908371857219</v>
      </c>
      <c r="R67" s="280"/>
      <c r="S67" s="1038">
        <v>3.5827167129739466</v>
      </c>
      <c r="T67" s="1041">
        <v>0.7991930892613237</v>
      </c>
    </row>
    <row r="68" spans="2:20" ht="15.75" thickBot="1">
      <c r="B68" s="449" t="s">
        <v>241</v>
      </c>
      <c r="C68" s="450"/>
      <c r="D68" s="451">
        <v>37.187760148843765</v>
      </c>
      <c r="E68" s="452">
        <v>51.188150240282695</v>
      </c>
      <c r="F68" s="452">
        <v>58.69607974927103</v>
      </c>
      <c r="G68" s="452">
        <v>57.8266663831151</v>
      </c>
      <c r="H68" s="453">
        <v>41.02369457421429</v>
      </c>
      <c r="I68" s="454">
        <v>60.307525013084295</v>
      </c>
      <c r="J68" s="452">
        <v>65.19936791293719</v>
      </c>
      <c r="K68" s="452">
        <v>74.44943061774235</v>
      </c>
      <c r="L68" s="452">
        <v>76.00907391387688</v>
      </c>
      <c r="M68" s="453">
        <v>78.47422955341239</v>
      </c>
      <c r="N68" s="395"/>
      <c r="O68" s="1042">
        <v>147.0719901383975</v>
      </c>
      <c r="P68" s="1043">
        <v>98.8503609573294</v>
      </c>
      <c r="Q68" s="1044">
        <v>245.9223510957269</v>
      </c>
      <c r="R68" s="280"/>
      <c r="S68" s="1042">
        <v>354.4396270110531</v>
      </c>
      <c r="T68" s="1045">
        <v>0.4412664218271285</v>
      </c>
    </row>
    <row r="69" spans="2:20" ht="15">
      <c r="B69" s="426"/>
      <c r="C69" s="426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395"/>
      <c r="O69" s="395"/>
      <c r="P69" s="395"/>
      <c r="Q69" s="395"/>
      <c r="R69" s="428"/>
      <c r="S69" s="428"/>
      <c r="T69" s="428"/>
    </row>
    <row r="70" spans="2:20" ht="14.25"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428"/>
      <c r="S70" s="428"/>
      <c r="T70" s="428"/>
    </row>
    <row r="71" spans="2:20" ht="15">
      <c r="B71" s="393" t="s">
        <v>242</v>
      </c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280"/>
      <c r="O71" s="395"/>
      <c r="P71" s="395"/>
      <c r="Q71" s="395"/>
      <c r="R71" s="428"/>
      <c r="S71" s="428"/>
      <c r="T71" s="428"/>
    </row>
    <row r="72" spans="2:20" ht="15" thickBot="1"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280"/>
      <c r="O72" s="395"/>
      <c r="P72" s="395"/>
      <c r="Q72" s="395"/>
      <c r="R72" s="428"/>
      <c r="S72" s="428"/>
      <c r="T72" s="428"/>
    </row>
    <row r="73" spans="2:20" ht="15">
      <c r="B73" s="397" t="s">
        <v>479</v>
      </c>
      <c r="C73" s="398"/>
      <c r="D73" s="400" t="s">
        <v>480</v>
      </c>
      <c r="E73" s="400"/>
      <c r="F73" s="400"/>
      <c r="G73" s="400"/>
      <c r="H73" s="401"/>
      <c r="I73" s="399" t="s">
        <v>481</v>
      </c>
      <c r="J73" s="400"/>
      <c r="K73" s="400"/>
      <c r="L73" s="400"/>
      <c r="M73" s="401"/>
      <c r="N73" s="280"/>
      <c r="O73" s="1027" t="s">
        <v>482</v>
      </c>
      <c r="P73" s="1028"/>
      <c r="Q73" s="1029"/>
      <c r="R73" s="280"/>
      <c r="S73" s="1027" t="s">
        <v>483</v>
      </c>
      <c r="T73" s="1029"/>
    </row>
    <row r="74" spans="2:20" ht="15">
      <c r="B74" s="402"/>
      <c r="C74" s="403"/>
      <c r="D74" s="409" t="s">
        <v>674</v>
      </c>
      <c r="E74" s="405" t="s">
        <v>675</v>
      </c>
      <c r="F74" s="405" t="s">
        <v>535</v>
      </c>
      <c r="G74" s="405" t="s">
        <v>676</v>
      </c>
      <c r="H74" s="406" t="s">
        <v>538</v>
      </c>
      <c r="I74" s="404" t="s">
        <v>484</v>
      </c>
      <c r="J74" s="405" t="s">
        <v>785</v>
      </c>
      <c r="K74" s="405" t="s">
        <v>786</v>
      </c>
      <c r="L74" s="405" t="s">
        <v>787</v>
      </c>
      <c r="M74" s="406" t="s">
        <v>788</v>
      </c>
      <c r="N74" s="280"/>
      <c r="O74" s="1030" t="s">
        <v>775</v>
      </c>
      <c r="P74" s="1031" t="s">
        <v>776</v>
      </c>
      <c r="Q74" s="1032" t="s">
        <v>816</v>
      </c>
      <c r="R74" s="280"/>
      <c r="S74" s="1030" t="s">
        <v>776</v>
      </c>
      <c r="T74" s="1032" t="s">
        <v>777</v>
      </c>
    </row>
    <row r="75" spans="2:20" ht="18">
      <c r="B75" s="407"/>
      <c r="C75" s="408"/>
      <c r="D75" s="409" t="s">
        <v>660</v>
      </c>
      <c r="E75" s="405" t="s">
        <v>660</v>
      </c>
      <c r="F75" s="405" t="s">
        <v>660</v>
      </c>
      <c r="G75" s="405" t="s">
        <v>660</v>
      </c>
      <c r="H75" s="406" t="s">
        <v>660</v>
      </c>
      <c r="I75" s="404" t="s">
        <v>660</v>
      </c>
      <c r="J75" s="405" t="s">
        <v>660</v>
      </c>
      <c r="K75" s="405" t="s">
        <v>660</v>
      </c>
      <c r="L75" s="405" t="s">
        <v>660</v>
      </c>
      <c r="M75" s="406" t="s">
        <v>660</v>
      </c>
      <c r="N75" s="395"/>
      <c r="O75" s="1033"/>
      <c r="P75" s="1034"/>
      <c r="Q75" s="1035"/>
      <c r="R75" s="280"/>
      <c r="S75" s="1036"/>
      <c r="T75" s="1037"/>
    </row>
    <row r="76" spans="2:20" ht="14.25" customHeight="1">
      <c r="B76" s="1466" t="s">
        <v>745</v>
      </c>
      <c r="C76" s="410" t="s">
        <v>746</v>
      </c>
      <c r="D76" s="429">
        <v>0</v>
      </c>
      <c r="E76" s="429">
        <v>0</v>
      </c>
      <c r="F76" s="429">
        <v>0</v>
      </c>
      <c r="G76" s="429">
        <v>0</v>
      </c>
      <c r="H76" s="430">
        <v>0</v>
      </c>
      <c r="I76" s="431">
        <v>0</v>
      </c>
      <c r="J76" s="432">
        <v>0</v>
      </c>
      <c r="K76" s="432">
        <v>0</v>
      </c>
      <c r="L76" s="432">
        <v>0</v>
      </c>
      <c r="M76" s="433">
        <v>0</v>
      </c>
      <c r="N76" s="395"/>
      <c r="O76" s="1038">
        <v>0</v>
      </c>
      <c r="P76" s="1039">
        <v>0</v>
      </c>
      <c r="Q76" s="1040">
        <v>0</v>
      </c>
      <c r="R76" s="280"/>
      <c r="S76" s="1038">
        <v>0</v>
      </c>
      <c r="T76" s="1041" t="s">
        <v>708</v>
      </c>
    </row>
    <row r="77" spans="2:20" ht="14.25" customHeight="1">
      <c r="B77" s="1461"/>
      <c r="C77" s="414" t="s">
        <v>747</v>
      </c>
      <c r="D77" s="434">
        <v>0.09943251376696195</v>
      </c>
      <c r="E77" s="434">
        <v>0.09958784093440214</v>
      </c>
      <c r="F77" s="434">
        <v>0.19930757130482524</v>
      </c>
      <c r="G77" s="434">
        <v>0.11163449108709478</v>
      </c>
      <c r="H77" s="435">
        <v>0.11117532404936126</v>
      </c>
      <c r="I77" s="436">
        <v>0.10598162282997246</v>
      </c>
      <c r="J77" s="437">
        <v>0.10373349429719747</v>
      </c>
      <c r="K77" s="437">
        <v>0.10359447930144974</v>
      </c>
      <c r="L77" s="437">
        <v>0.10334928520907181</v>
      </c>
      <c r="M77" s="438">
        <v>0.10440722015081436</v>
      </c>
      <c r="N77" s="395"/>
      <c r="O77" s="1038">
        <v>0.3983279260061893</v>
      </c>
      <c r="P77" s="1039">
        <v>0.22280981513645604</v>
      </c>
      <c r="Q77" s="1040">
        <v>0.6211377411426454</v>
      </c>
      <c r="R77" s="280"/>
      <c r="S77" s="1038">
        <v>0.5210661017885059</v>
      </c>
      <c r="T77" s="1041">
        <v>-0.16111022197757247</v>
      </c>
    </row>
    <row r="78" spans="2:20" ht="14.25" customHeight="1">
      <c r="B78" s="1461" t="s">
        <v>748</v>
      </c>
      <c r="C78" s="414" t="s">
        <v>746</v>
      </c>
      <c r="D78" s="434">
        <v>0</v>
      </c>
      <c r="E78" s="434">
        <v>0</v>
      </c>
      <c r="F78" s="434">
        <v>0</v>
      </c>
      <c r="G78" s="434">
        <v>0</v>
      </c>
      <c r="H78" s="435">
        <v>0</v>
      </c>
      <c r="I78" s="436">
        <v>0</v>
      </c>
      <c r="J78" s="437">
        <v>0</v>
      </c>
      <c r="K78" s="437">
        <v>0</v>
      </c>
      <c r="L78" s="437">
        <v>0</v>
      </c>
      <c r="M78" s="438">
        <v>0</v>
      </c>
      <c r="N78" s="395"/>
      <c r="O78" s="1038">
        <v>0</v>
      </c>
      <c r="P78" s="1039">
        <v>0</v>
      </c>
      <c r="Q78" s="1040">
        <v>0</v>
      </c>
      <c r="R78" s="280"/>
      <c r="S78" s="1038">
        <v>0</v>
      </c>
      <c r="T78" s="1041" t="s">
        <v>708</v>
      </c>
    </row>
    <row r="79" spans="2:20" ht="14.25" customHeight="1">
      <c r="B79" s="1461"/>
      <c r="C79" s="414" t="s">
        <v>747</v>
      </c>
      <c r="D79" s="434">
        <v>0</v>
      </c>
      <c r="E79" s="434">
        <v>0</v>
      </c>
      <c r="F79" s="434">
        <v>0</v>
      </c>
      <c r="G79" s="434">
        <v>0</v>
      </c>
      <c r="H79" s="435">
        <v>0</v>
      </c>
      <c r="I79" s="436">
        <v>0</v>
      </c>
      <c r="J79" s="437">
        <v>0</v>
      </c>
      <c r="K79" s="437">
        <v>0</v>
      </c>
      <c r="L79" s="437">
        <v>0</v>
      </c>
      <c r="M79" s="438">
        <v>0</v>
      </c>
      <c r="N79" s="395"/>
      <c r="O79" s="1038">
        <v>0</v>
      </c>
      <c r="P79" s="1039">
        <v>0</v>
      </c>
      <c r="Q79" s="1040">
        <v>0</v>
      </c>
      <c r="R79" s="280"/>
      <c r="S79" s="1038">
        <v>0</v>
      </c>
      <c r="T79" s="1041" t="s">
        <v>708</v>
      </c>
    </row>
    <row r="80" spans="2:20" ht="14.25" customHeight="1">
      <c r="B80" s="1462" t="s">
        <v>598</v>
      </c>
      <c r="C80" s="414" t="s">
        <v>778</v>
      </c>
      <c r="D80" s="434">
        <v>0</v>
      </c>
      <c r="E80" s="434">
        <v>0</v>
      </c>
      <c r="F80" s="434">
        <v>0</v>
      </c>
      <c r="G80" s="434">
        <v>0</v>
      </c>
      <c r="H80" s="435">
        <v>0</v>
      </c>
      <c r="I80" s="436">
        <v>0</v>
      </c>
      <c r="J80" s="437">
        <v>0</v>
      </c>
      <c r="K80" s="437">
        <v>0</v>
      </c>
      <c r="L80" s="437">
        <v>0</v>
      </c>
      <c r="M80" s="438">
        <v>0</v>
      </c>
      <c r="N80" s="395"/>
      <c r="O80" s="1038">
        <v>0</v>
      </c>
      <c r="P80" s="1039">
        <v>0</v>
      </c>
      <c r="Q80" s="1040">
        <v>0</v>
      </c>
      <c r="R80" s="280"/>
      <c r="S80" s="1038">
        <v>0</v>
      </c>
      <c r="T80" s="1041" t="s">
        <v>708</v>
      </c>
    </row>
    <row r="81" spans="2:20" ht="14.25" customHeight="1">
      <c r="B81" s="1462"/>
      <c r="C81" s="414" t="s">
        <v>656</v>
      </c>
      <c r="D81" s="434">
        <v>0</v>
      </c>
      <c r="E81" s="434">
        <v>0</v>
      </c>
      <c r="F81" s="434">
        <v>0.09965378565241262</v>
      </c>
      <c r="G81" s="434">
        <v>0.11163449108709478</v>
      </c>
      <c r="H81" s="435">
        <v>0.11117532404936126</v>
      </c>
      <c r="I81" s="436">
        <v>0.10598162282997246</v>
      </c>
      <c r="J81" s="437">
        <v>0.10373349429719747</v>
      </c>
      <c r="K81" s="437">
        <v>0.10359447930144974</v>
      </c>
      <c r="L81" s="437">
        <v>0.10334928520907181</v>
      </c>
      <c r="M81" s="438">
        <v>0.10440722015081436</v>
      </c>
      <c r="N81" s="395"/>
      <c r="O81" s="1038">
        <v>0.09965378565241262</v>
      </c>
      <c r="P81" s="1039">
        <v>0.22280981513645604</v>
      </c>
      <c r="Q81" s="1040">
        <v>0.32246360078886865</v>
      </c>
      <c r="R81" s="280"/>
      <c r="S81" s="1038">
        <v>0.5210661017885059</v>
      </c>
      <c r="T81" s="1041">
        <v>0.6158912215635499</v>
      </c>
    </row>
    <row r="82" spans="2:20" ht="14.25" customHeight="1">
      <c r="B82" s="1462"/>
      <c r="C82" s="418" t="s">
        <v>882</v>
      </c>
      <c r="D82" s="434">
        <v>0.1988650275339239</v>
      </c>
      <c r="E82" s="434">
        <v>0.19917568186880427</v>
      </c>
      <c r="F82" s="434">
        <v>0.19930757130482524</v>
      </c>
      <c r="G82" s="434">
        <v>0.22326898217418956</v>
      </c>
      <c r="H82" s="435">
        <v>0.22235064809872251</v>
      </c>
      <c r="I82" s="436">
        <v>0.21196324565994493</v>
      </c>
      <c r="J82" s="437">
        <v>0.20746698859439494</v>
      </c>
      <c r="K82" s="437">
        <v>0.2071889586028995</v>
      </c>
      <c r="L82" s="437">
        <v>0.20669857041814363</v>
      </c>
      <c r="M82" s="438">
        <v>0.2088144403016287</v>
      </c>
      <c r="N82" s="395"/>
      <c r="O82" s="1038">
        <v>0.5973482807075534</v>
      </c>
      <c r="P82" s="1039">
        <v>0.44561963027291207</v>
      </c>
      <c r="Q82" s="1040">
        <v>1.0429679109804655</v>
      </c>
      <c r="R82" s="280"/>
      <c r="S82" s="1038">
        <v>1.0421322035770118</v>
      </c>
      <c r="T82" s="1041">
        <v>-0.0008012781550183151</v>
      </c>
    </row>
    <row r="83" spans="2:20" ht="14.25" customHeight="1">
      <c r="B83" s="1462" t="s">
        <v>694</v>
      </c>
      <c r="C83" s="414" t="s">
        <v>883</v>
      </c>
      <c r="D83" s="434">
        <v>0.09943251376696195</v>
      </c>
      <c r="E83" s="434">
        <v>0.09958784093440214</v>
      </c>
      <c r="F83" s="434">
        <v>0.09965378565241262</v>
      </c>
      <c r="G83" s="434">
        <v>0.11163449108709478</v>
      </c>
      <c r="H83" s="435">
        <v>0.11117532404936126</v>
      </c>
      <c r="I83" s="436">
        <v>0.10598162282997246</v>
      </c>
      <c r="J83" s="437">
        <v>0.10373349429719747</v>
      </c>
      <c r="K83" s="437">
        <v>0.10359447930144974</v>
      </c>
      <c r="L83" s="437">
        <v>0.10334928520907181</v>
      </c>
      <c r="M83" s="438">
        <v>0.10440722015081436</v>
      </c>
      <c r="N83" s="395"/>
      <c r="O83" s="1038">
        <v>0.2986741403537767</v>
      </c>
      <c r="P83" s="1039">
        <v>0.22280981513645604</v>
      </c>
      <c r="Q83" s="1040">
        <v>0.5214839554902327</v>
      </c>
      <c r="R83" s="280"/>
      <c r="S83" s="1038">
        <v>0.5210661017885059</v>
      </c>
      <c r="T83" s="1041">
        <v>-0.0008012781550183151</v>
      </c>
    </row>
    <row r="84" spans="2:20" ht="14.25" customHeight="1">
      <c r="B84" s="1462"/>
      <c r="C84" s="414" t="s">
        <v>634</v>
      </c>
      <c r="D84" s="434">
        <v>0.2982975413008858</v>
      </c>
      <c r="E84" s="434">
        <v>0.39835136373760854</v>
      </c>
      <c r="F84" s="434">
        <v>1.1958454278289514</v>
      </c>
      <c r="G84" s="434">
        <v>0.5581724554354739</v>
      </c>
      <c r="H84" s="435">
        <v>0.5558766202468062</v>
      </c>
      <c r="I84" s="436">
        <v>0.5299081141498622</v>
      </c>
      <c r="J84" s="437">
        <v>0.5186674714859872</v>
      </c>
      <c r="K84" s="437">
        <v>0.5179723965072487</v>
      </c>
      <c r="L84" s="437">
        <v>0.5167464260453591</v>
      </c>
      <c r="M84" s="438">
        <v>0.5220361007540717</v>
      </c>
      <c r="N84" s="395"/>
      <c r="O84" s="1038">
        <v>1.8924943328674457</v>
      </c>
      <c r="P84" s="1039">
        <v>1.11404907568228</v>
      </c>
      <c r="Q84" s="1040">
        <v>3.0065434085497262</v>
      </c>
      <c r="R84" s="280"/>
      <c r="S84" s="1038">
        <v>2.605330508942529</v>
      </c>
      <c r="T84" s="1041">
        <v>-0.13344656806426466</v>
      </c>
    </row>
    <row r="85" spans="2:20" ht="14.25" customHeight="1">
      <c r="B85" s="1462"/>
      <c r="C85" s="418" t="s">
        <v>769</v>
      </c>
      <c r="D85" s="434">
        <v>0</v>
      </c>
      <c r="E85" s="434">
        <v>0</v>
      </c>
      <c r="F85" s="434">
        <v>0</v>
      </c>
      <c r="G85" s="434">
        <v>0</v>
      </c>
      <c r="H85" s="435">
        <v>0</v>
      </c>
      <c r="I85" s="436">
        <v>0</v>
      </c>
      <c r="J85" s="437">
        <v>0</v>
      </c>
      <c r="K85" s="437">
        <v>0</v>
      </c>
      <c r="L85" s="437">
        <v>0</v>
      </c>
      <c r="M85" s="438">
        <v>0</v>
      </c>
      <c r="N85" s="395"/>
      <c r="O85" s="1038">
        <v>0</v>
      </c>
      <c r="P85" s="1039">
        <v>0</v>
      </c>
      <c r="Q85" s="1040">
        <v>0</v>
      </c>
      <c r="R85" s="280"/>
      <c r="S85" s="1038">
        <v>0</v>
      </c>
      <c r="T85" s="1041" t="s">
        <v>708</v>
      </c>
    </row>
    <row r="86" spans="2:20" ht="14.25" customHeight="1">
      <c r="B86" s="1462"/>
      <c r="C86" s="418" t="s">
        <v>882</v>
      </c>
      <c r="D86" s="434">
        <v>0.3977300550678478</v>
      </c>
      <c r="E86" s="434">
        <v>0.5975270456064128</v>
      </c>
      <c r="F86" s="434">
        <v>0.4982689282620631</v>
      </c>
      <c r="G86" s="434">
        <v>0.4465379643483791</v>
      </c>
      <c r="H86" s="435">
        <v>0.44470129619744503</v>
      </c>
      <c r="I86" s="436">
        <v>0.42392649131988985</v>
      </c>
      <c r="J86" s="437">
        <v>0.4149339771887899</v>
      </c>
      <c r="K86" s="437">
        <v>0.414377917205799</v>
      </c>
      <c r="L86" s="437">
        <v>0.41339714083628726</v>
      </c>
      <c r="M86" s="438">
        <v>0.4176288806032574</v>
      </c>
      <c r="N86" s="395"/>
      <c r="O86" s="1038">
        <v>1.4935260289363237</v>
      </c>
      <c r="P86" s="1039">
        <v>0.8912392605458241</v>
      </c>
      <c r="Q86" s="1040">
        <v>2.384765289482148</v>
      </c>
      <c r="R86" s="280"/>
      <c r="S86" s="1038">
        <v>2.0842644071540235</v>
      </c>
      <c r="T86" s="1041">
        <v>-0.12600857772186802</v>
      </c>
    </row>
    <row r="87" spans="2:20" ht="14.25" customHeight="1">
      <c r="B87" s="1462"/>
      <c r="C87" s="414" t="s">
        <v>472</v>
      </c>
      <c r="D87" s="434">
        <v>0.09943251376696195</v>
      </c>
      <c r="E87" s="434">
        <v>0.39835136373760854</v>
      </c>
      <c r="F87" s="434">
        <v>0.29896135695723786</v>
      </c>
      <c r="G87" s="434">
        <v>0.22326898217418956</v>
      </c>
      <c r="H87" s="435">
        <v>0.22235064809872251</v>
      </c>
      <c r="I87" s="436">
        <v>0.5299081141498622</v>
      </c>
      <c r="J87" s="437">
        <v>0.5186674714859872</v>
      </c>
      <c r="K87" s="437">
        <v>0.6215668758086984</v>
      </c>
      <c r="L87" s="437">
        <v>0.6200957112544309</v>
      </c>
      <c r="M87" s="438">
        <v>0.7308505410557004</v>
      </c>
      <c r="N87" s="395"/>
      <c r="O87" s="1038">
        <v>0.7967452344618083</v>
      </c>
      <c r="P87" s="1039">
        <v>0.44561963027291207</v>
      </c>
      <c r="Q87" s="1040">
        <v>1.2423648647347203</v>
      </c>
      <c r="R87" s="280"/>
      <c r="S87" s="1038">
        <v>3.021088713754679</v>
      </c>
      <c r="T87" s="1041">
        <v>1.431724205593794</v>
      </c>
    </row>
    <row r="88" spans="2:20" ht="14.25" customHeight="1">
      <c r="B88" s="1462"/>
      <c r="C88" s="414" t="s">
        <v>473</v>
      </c>
      <c r="D88" s="434">
        <v>0.7954601101356956</v>
      </c>
      <c r="E88" s="434">
        <v>0.2987635228032064</v>
      </c>
      <c r="F88" s="434">
        <v>0.6975764995668883</v>
      </c>
      <c r="G88" s="434">
        <v>0.5581724554354739</v>
      </c>
      <c r="H88" s="435">
        <v>0.5558766202468062</v>
      </c>
      <c r="I88" s="436">
        <v>0.5299081141498622</v>
      </c>
      <c r="J88" s="437">
        <v>0.5186674714859872</v>
      </c>
      <c r="K88" s="437">
        <v>0.5179723965072487</v>
      </c>
      <c r="L88" s="437">
        <v>0.5167464260453591</v>
      </c>
      <c r="M88" s="438">
        <v>0.5220361007540717</v>
      </c>
      <c r="N88" s="395"/>
      <c r="O88" s="1038">
        <v>1.7918001325057904</v>
      </c>
      <c r="P88" s="1039">
        <v>1.11404907568228</v>
      </c>
      <c r="Q88" s="1040">
        <v>2.9058492081880702</v>
      </c>
      <c r="R88" s="280"/>
      <c r="S88" s="1038">
        <v>2.605330508942529</v>
      </c>
      <c r="T88" s="1041">
        <v>-0.10341854573827954</v>
      </c>
    </row>
    <row r="89" spans="2:20" ht="14.25" customHeight="1">
      <c r="B89" s="1462" t="s">
        <v>815</v>
      </c>
      <c r="C89" s="414" t="s">
        <v>883</v>
      </c>
      <c r="D89" s="434">
        <v>0</v>
      </c>
      <c r="E89" s="434">
        <v>0</v>
      </c>
      <c r="F89" s="434">
        <v>0</v>
      </c>
      <c r="G89" s="434">
        <v>0</v>
      </c>
      <c r="H89" s="435">
        <v>0</v>
      </c>
      <c r="I89" s="436">
        <v>0</v>
      </c>
      <c r="J89" s="437">
        <v>0</v>
      </c>
      <c r="K89" s="437">
        <v>0</v>
      </c>
      <c r="L89" s="437">
        <v>0</v>
      </c>
      <c r="M89" s="438">
        <v>0</v>
      </c>
      <c r="N89" s="395"/>
      <c r="O89" s="1038">
        <v>0</v>
      </c>
      <c r="P89" s="1039">
        <v>0</v>
      </c>
      <c r="Q89" s="1040">
        <v>0</v>
      </c>
      <c r="R89" s="280"/>
      <c r="S89" s="1038">
        <v>0</v>
      </c>
      <c r="T89" s="1041" t="s">
        <v>708</v>
      </c>
    </row>
    <row r="90" spans="2:20" ht="14.25" customHeight="1">
      <c r="B90" s="1462"/>
      <c r="C90" s="414" t="s">
        <v>634</v>
      </c>
      <c r="D90" s="434">
        <v>0.09943251376696195</v>
      </c>
      <c r="E90" s="434">
        <v>0.19917568186880427</v>
      </c>
      <c r="F90" s="434">
        <v>0.19930757130482524</v>
      </c>
      <c r="G90" s="434">
        <v>0.11163449108709478</v>
      </c>
      <c r="H90" s="435">
        <v>0.11117532404936126</v>
      </c>
      <c r="I90" s="436">
        <v>0.21196324565994493</v>
      </c>
      <c r="J90" s="437">
        <v>0.20746698859439494</v>
      </c>
      <c r="K90" s="437">
        <v>0.2071889586028995</v>
      </c>
      <c r="L90" s="437">
        <v>0.20669857041814363</v>
      </c>
      <c r="M90" s="438">
        <v>0.2088144403016287</v>
      </c>
      <c r="N90" s="395"/>
      <c r="O90" s="1038">
        <v>0.4979157669405915</v>
      </c>
      <c r="P90" s="1039">
        <v>0.22280981513645604</v>
      </c>
      <c r="Q90" s="1040">
        <v>0.7207255820770475</v>
      </c>
      <c r="R90" s="280"/>
      <c r="S90" s="1038">
        <v>1.0421322035770118</v>
      </c>
      <c r="T90" s="1041">
        <v>0.44594867934853605</v>
      </c>
    </row>
    <row r="91" spans="2:20" ht="14.25" customHeight="1">
      <c r="B91" s="1462"/>
      <c r="C91" s="414" t="s">
        <v>769</v>
      </c>
      <c r="D91" s="434">
        <v>0</v>
      </c>
      <c r="E91" s="434">
        <v>0</v>
      </c>
      <c r="F91" s="434">
        <v>0</v>
      </c>
      <c r="G91" s="434">
        <v>0</v>
      </c>
      <c r="H91" s="435">
        <v>0</v>
      </c>
      <c r="I91" s="436">
        <v>0</v>
      </c>
      <c r="J91" s="437">
        <v>0</v>
      </c>
      <c r="K91" s="437">
        <v>0</v>
      </c>
      <c r="L91" s="437">
        <v>0</v>
      </c>
      <c r="M91" s="438">
        <v>0</v>
      </c>
      <c r="N91" s="395"/>
      <c r="O91" s="1038">
        <v>0</v>
      </c>
      <c r="P91" s="1039">
        <v>0</v>
      </c>
      <c r="Q91" s="1040">
        <v>0</v>
      </c>
      <c r="R91" s="280"/>
      <c r="S91" s="1038">
        <v>0</v>
      </c>
      <c r="T91" s="1041" t="s">
        <v>708</v>
      </c>
    </row>
    <row r="92" spans="2:20" ht="14.25" customHeight="1">
      <c r="B92" s="1462"/>
      <c r="C92" s="414" t="s">
        <v>882</v>
      </c>
      <c r="D92" s="434">
        <v>0</v>
      </c>
      <c r="E92" s="434">
        <v>0</v>
      </c>
      <c r="F92" s="434">
        <v>0</v>
      </c>
      <c r="G92" s="434">
        <v>0</v>
      </c>
      <c r="H92" s="435">
        <v>0</v>
      </c>
      <c r="I92" s="436">
        <v>0</v>
      </c>
      <c r="J92" s="437">
        <v>0</v>
      </c>
      <c r="K92" s="437">
        <v>0</v>
      </c>
      <c r="L92" s="437">
        <v>0</v>
      </c>
      <c r="M92" s="438">
        <v>0</v>
      </c>
      <c r="N92" s="395"/>
      <c r="O92" s="1038">
        <v>0</v>
      </c>
      <c r="P92" s="1039">
        <v>0</v>
      </c>
      <c r="Q92" s="1040">
        <v>0</v>
      </c>
      <c r="R92" s="280"/>
      <c r="S92" s="1038">
        <v>0</v>
      </c>
      <c r="T92" s="1041" t="s">
        <v>708</v>
      </c>
    </row>
    <row r="93" spans="2:20" ht="14.25" customHeight="1">
      <c r="B93" s="1462"/>
      <c r="C93" s="414" t="s">
        <v>472</v>
      </c>
      <c r="D93" s="434">
        <v>0.7954601101356956</v>
      </c>
      <c r="E93" s="434">
        <v>2.8880473870976617</v>
      </c>
      <c r="F93" s="434">
        <v>2.1923832843530775</v>
      </c>
      <c r="G93" s="434">
        <v>1.004710419783853</v>
      </c>
      <c r="H93" s="435">
        <v>0.5558766202468062</v>
      </c>
      <c r="I93" s="436">
        <v>0</v>
      </c>
      <c r="J93" s="437">
        <v>0</v>
      </c>
      <c r="K93" s="437">
        <v>0</v>
      </c>
      <c r="L93" s="437">
        <v>0</v>
      </c>
      <c r="M93" s="438">
        <v>0</v>
      </c>
      <c r="N93" s="395"/>
      <c r="O93" s="1038">
        <v>5.875890781586435</v>
      </c>
      <c r="P93" s="1039">
        <v>1.5605870400306592</v>
      </c>
      <c r="Q93" s="1040">
        <v>7.436477821617094</v>
      </c>
      <c r="R93" s="280"/>
      <c r="S93" s="1038">
        <v>0</v>
      </c>
      <c r="T93" s="1041">
        <v>-1</v>
      </c>
    </row>
    <row r="94" spans="2:20" ht="14.25" customHeight="1">
      <c r="B94" s="1462"/>
      <c r="C94" s="419" t="s">
        <v>473</v>
      </c>
      <c r="D94" s="434">
        <v>0</v>
      </c>
      <c r="E94" s="434">
        <v>0</v>
      </c>
      <c r="F94" s="434">
        <v>0</v>
      </c>
      <c r="G94" s="434">
        <v>0</v>
      </c>
      <c r="H94" s="435">
        <v>0</v>
      </c>
      <c r="I94" s="436">
        <v>0</v>
      </c>
      <c r="J94" s="437">
        <v>0</v>
      </c>
      <c r="K94" s="437">
        <v>0</v>
      </c>
      <c r="L94" s="437">
        <v>0</v>
      </c>
      <c r="M94" s="438">
        <v>0</v>
      </c>
      <c r="N94" s="395"/>
      <c r="O94" s="1038">
        <v>0</v>
      </c>
      <c r="P94" s="1039">
        <v>0</v>
      </c>
      <c r="Q94" s="1040">
        <v>0</v>
      </c>
      <c r="R94" s="280"/>
      <c r="S94" s="1038">
        <v>0</v>
      </c>
      <c r="T94" s="1041" t="s">
        <v>708</v>
      </c>
    </row>
    <row r="95" spans="2:20" ht="14.25" customHeight="1">
      <c r="B95" s="1462" t="s">
        <v>813</v>
      </c>
      <c r="C95" s="420" t="s">
        <v>883</v>
      </c>
      <c r="D95" s="434">
        <v>0</v>
      </c>
      <c r="E95" s="434">
        <v>0</v>
      </c>
      <c r="F95" s="434">
        <v>0</v>
      </c>
      <c r="G95" s="434">
        <v>0</v>
      </c>
      <c r="H95" s="435">
        <v>0</v>
      </c>
      <c r="I95" s="436">
        <v>0</v>
      </c>
      <c r="J95" s="437">
        <v>0</v>
      </c>
      <c r="K95" s="437">
        <v>0</v>
      </c>
      <c r="L95" s="437">
        <v>0</v>
      </c>
      <c r="M95" s="438">
        <v>0</v>
      </c>
      <c r="N95" s="395"/>
      <c r="O95" s="1038">
        <v>0</v>
      </c>
      <c r="P95" s="1039">
        <v>0</v>
      </c>
      <c r="Q95" s="1040">
        <v>0</v>
      </c>
      <c r="R95" s="280"/>
      <c r="S95" s="1038">
        <v>0</v>
      </c>
      <c r="T95" s="1041" t="s">
        <v>708</v>
      </c>
    </row>
    <row r="96" spans="2:20" ht="14.25" customHeight="1">
      <c r="B96" s="1462"/>
      <c r="C96" s="414" t="s">
        <v>634</v>
      </c>
      <c r="D96" s="434">
        <v>0</v>
      </c>
      <c r="E96" s="434">
        <v>0</v>
      </c>
      <c r="F96" s="434">
        <v>0</v>
      </c>
      <c r="G96" s="434">
        <v>0</v>
      </c>
      <c r="H96" s="435">
        <v>0</v>
      </c>
      <c r="I96" s="436">
        <v>0</v>
      </c>
      <c r="J96" s="437">
        <v>0</v>
      </c>
      <c r="K96" s="437">
        <v>0</v>
      </c>
      <c r="L96" s="437">
        <v>0</v>
      </c>
      <c r="M96" s="438">
        <v>0</v>
      </c>
      <c r="N96" s="395"/>
      <c r="O96" s="1038">
        <v>0</v>
      </c>
      <c r="P96" s="1039">
        <v>0</v>
      </c>
      <c r="Q96" s="1040">
        <v>0</v>
      </c>
      <c r="R96" s="280"/>
      <c r="S96" s="1038">
        <v>0</v>
      </c>
      <c r="T96" s="1041" t="s">
        <v>708</v>
      </c>
    </row>
    <row r="97" spans="2:20" ht="14.25" customHeight="1">
      <c r="B97" s="1462"/>
      <c r="C97" s="419" t="s">
        <v>635</v>
      </c>
      <c r="D97" s="434">
        <v>0</v>
      </c>
      <c r="E97" s="434">
        <v>0</v>
      </c>
      <c r="F97" s="434">
        <v>0</v>
      </c>
      <c r="G97" s="434">
        <v>0</v>
      </c>
      <c r="H97" s="435">
        <v>0</v>
      </c>
      <c r="I97" s="436">
        <v>0</v>
      </c>
      <c r="J97" s="437">
        <v>0</v>
      </c>
      <c r="K97" s="437">
        <v>0</v>
      </c>
      <c r="L97" s="437">
        <v>0</v>
      </c>
      <c r="M97" s="438">
        <v>0</v>
      </c>
      <c r="N97" s="395"/>
      <c r="O97" s="1038">
        <v>0</v>
      </c>
      <c r="P97" s="1039">
        <v>0</v>
      </c>
      <c r="Q97" s="1040">
        <v>0</v>
      </c>
      <c r="R97" s="280"/>
      <c r="S97" s="1038">
        <v>0</v>
      </c>
      <c r="T97" s="1041" t="s">
        <v>708</v>
      </c>
    </row>
    <row r="98" spans="2:20" ht="14.25" customHeight="1">
      <c r="B98" s="1462"/>
      <c r="C98" s="419" t="s">
        <v>882</v>
      </c>
      <c r="D98" s="434">
        <v>0</v>
      </c>
      <c r="E98" s="434">
        <v>0</v>
      </c>
      <c r="F98" s="434">
        <v>0</v>
      </c>
      <c r="G98" s="434">
        <v>0</v>
      </c>
      <c r="H98" s="435">
        <v>0</v>
      </c>
      <c r="I98" s="436">
        <v>0</v>
      </c>
      <c r="J98" s="437">
        <v>0</v>
      </c>
      <c r="K98" s="437">
        <v>0</v>
      </c>
      <c r="L98" s="437">
        <v>0</v>
      </c>
      <c r="M98" s="438">
        <v>0</v>
      </c>
      <c r="N98" s="395"/>
      <c r="O98" s="1038">
        <v>0</v>
      </c>
      <c r="P98" s="1039">
        <v>0</v>
      </c>
      <c r="Q98" s="1040">
        <v>0</v>
      </c>
      <c r="R98" s="280"/>
      <c r="S98" s="1038">
        <v>0</v>
      </c>
      <c r="T98" s="1041" t="s">
        <v>708</v>
      </c>
    </row>
    <row r="99" spans="2:20" ht="14.25" customHeight="1">
      <c r="B99" s="1462"/>
      <c r="C99" s="419" t="s">
        <v>472</v>
      </c>
      <c r="D99" s="434">
        <v>0.1988650275339239</v>
      </c>
      <c r="E99" s="434">
        <v>1.1950540912128256</v>
      </c>
      <c r="F99" s="434">
        <v>0.3986151426096505</v>
      </c>
      <c r="G99" s="434">
        <v>0.5581724554354739</v>
      </c>
      <c r="H99" s="435">
        <v>0.5558766202468062</v>
      </c>
      <c r="I99" s="436">
        <v>0.6358897369798348</v>
      </c>
      <c r="J99" s="437">
        <v>0.6224009657831847</v>
      </c>
      <c r="K99" s="437">
        <v>0.6215668758086984</v>
      </c>
      <c r="L99" s="437">
        <v>0.6200957112544309</v>
      </c>
      <c r="M99" s="438">
        <v>0.626443320904886</v>
      </c>
      <c r="N99" s="395"/>
      <c r="O99" s="1038">
        <v>1.7925342613564</v>
      </c>
      <c r="P99" s="1039">
        <v>1.11404907568228</v>
      </c>
      <c r="Q99" s="1040">
        <v>2.90658333703868</v>
      </c>
      <c r="R99" s="280"/>
      <c r="S99" s="1038">
        <v>3.126396610731035</v>
      </c>
      <c r="T99" s="1041">
        <v>0.0756260007725454</v>
      </c>
    </row>
    <row r="100" spans="2:20" ht="14.25" customHeight="1">
      <c r="B100" s="1462"/>
      <c r="C100" s="419" t="s">
        <v>473</v>
      </c>
      <c r="D100" s="434">
        <v>0</v>
      </c>
      <c r="E100" s="434">
        <v>0</v>
      </c>
      <c r="F100" s="434">
        <v>0</v>
      </c>
      <c r="G100" s="434">
        <v>0</v>
      </c>
      <c r="H100" s="435">
        <v>0</v>
      </c>
      <c r="I100" s="436">
        <v>0</v>
      </c>
      <c r="J100" s="437">
        <v>0</v>
      </c>
      <c r="K100" s="437">
        <v>0</v>
      </c>
      <c r="L100" s="437">
        <v>0</v>
      </c>
      <c r="M100" s="438">
        <v>0</v>
      </c>
      <c r="N100" s="395"/>
      <c r="O100" s="1038">
        <v>0</v>
      </c>
      <c r="P100" s="1039">
        <v>0</v>
      </c>
      <c r="Q100" s="1040">
        <v>0</v>
      </c>
      <c r="R100" s="280"/>
      <c r="S100" s="1038">
        <v>0</v>
      </c>
      <c r="T100" s="1041" t="s">
        <v>708</v>
      </c>
    </row>
    <row r="101" spans="2:20" ht="15.75" thickBot="1">
      <c r="B101" s="421" t="s">
        <v>374</v>
      </c>
      <c r="C101" s="422"/>
      <c r="D101" s="455">
        <v>3.082407926775821</v>
      </c>
      <c r="E101" s="456">
        <v>6.373621819801737</v>
      </c>
      <c r="F101" s="456">
        <v>6.078880924797169</v>
      </c>
      <c r="G101" s="456">
        <v>4.018841679135413</v>
      </c>
      <c r="H101" s="457">
        <v>3.5576103695795602</v>
      </c>
      <c r="I101" s="458">
        <v>3.3914119305591184</v>
      </c>
      <c r="J101" s="456">
        <v>3.319471817510319</v>
      </c>
      <c r="K101" s="456">
        <v>3.4186178169478416</v>
      </c>
      <c r="L101" s="456">
        <v>3.4105264118993706</v>
      </c>
      <c r="M101" s="457">
        <v>3.5498454851276877</v>
      </c>
      <c r="N101" s="395"/>
      <c r="O101" s="1042">
        <v>15.534910671374728</v>
      </c>
      <c r="P101" s="1043">
        <v>7.576452048714973</v>
      </c>
      <c r="Q101" s="1044">
        <v>23.1113627200897</v>
      </c>
      <c r="R101" s="280"/>
      <c r="S101" s="1042">
        <v>17.089873462044338</v>
      </c>
      <c r="T101" s="1045">
        <v>-0.260542371775038</v>
      </c>
    </row>
    <row r="102" spans="2:20" ht="14.25"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428"/>
      <c r="S102" s="428"/>
      <c r="T102" s="428"/>
    </row>
    <row r="103" spans="2:20" ht="14.25"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428"/>
      <c r="S103" s="428"/>
      <c r="T103" s="428"/>
    </row>
    <row r="104" spans="2:20" ht="15">
      <c r="B104" s="393" t="s">
        <v>375</v>
      </c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428"/>
      <c r="S104" s="428"/>
      <c r="T104" s="428"/>
    </row>
    <row r="105" spans="2:20" ht="15" thickBot="1">
      <c r="B105" s="395"/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428"/>
      <c r="S105" s="428"/>
      <c r="T105" s="428"/>
    </row>
    <row r="106" spans="2:20" ht="15">
      <c r="B106" s="397" t="s">
        <v>479</v>
      </c>
      <c r="C106" s="398"/>
      <c r="D106" s="400" t="s">
        <v>480</v>
      </c>
      <c r="E106" s="400"/>
      <c r="F106" s="400"/>
      <c r="G106" s="400"/>
      <c r="H106" s="401"/>
      <c r="I106" s="399" t="s">
        <v>481</v>
      </c>
      <c r="J106" s="400"/>
      <c r="K106" s="400"/>
      <c r="L106" s="400"/>
      <c r="M106" s="401"/>
      <c r="N106" s="395"/>
      <c r="O106" s="1027" t="s">
        <v>482</v>
      </c>
      <c r="P106" s="1028"/>
      <c r="Q106" s="1029"/>
      <c r="R106" s="280"/>
      <c r="S106" s="1027" t="s">
        <v>483</v>
      </c>
      <c r="T106" s="1029"/>
    </row>
    <row r="107" spans="2:20" ht="15">
      <c r="B107" s="402"/>
      <c r="C107" s="403"/>
      <c r="D107" s="409" t="s">
        <v>674</v>
      </c>
      <c r="E107" s="405" t="s">
        <v>675</v>
      </c>
      <c r="F107" s="405" t="s">
        <v>535</v>
      </c>
      <c r="G107" s="405" t="s">
        <v>676</v>
      </c>
      <c r="H107" s="406" t="s">
        <v>538</v>
      </c>
      <c r="I107" s="404" t="s">
        <v>484</v>
      </c>
      <c r="J107" s="405" t="s">
        <v>785</v>
      </c>
      <c r="K107" s="405" t="s">
        <v>786</v>
      </c>
      <c r="L107" s="405" t="s">
        <v>787</v>
      </c>
      <c r="M107" s="406" t="s">
        <v>376</v>
      </c>
      <c r="N107" s="395"/>
      <c r="O107" s="1030" t="s">
        <v>775</v>
      </c>
      <c r="P107" s="1031" t="s">
        <v>776</v>
      </c>
      <c r="Q107" s="1032" t="s">
        <v>816</v>
      </c>
      <c r="R107" s="280"/>
      <c r="S107" s="1030" t="s">
        <v>776</v>
      </c>
      <c r="T107" s="1032" t="s">
        <v>777</v>
      </c>
    </row>
    <row r="108" spans="2:20" ht="18">
      <c r="B108" s="407"/>
      <c r="C108" s="408"/>
      <c r="D108" s="409" t="s">
        <v>660</v>
      </c>
      <c r="E108" s="405" t="s">
        <v>660</v>
      </c>
      <c r="F108" s="405" t="s">
        <v>660</v>
      </c>
      <c r="G108" s="405" t="s">
        <v>660</v>
      </c>
      <c r="H108" s="406" t="s">
        <v>660</v>
      </c>
      <c r="I108" s="404" t="s">
        <v>660</v>
      </c>
      <c r="J108" s="405" t="s">
        <v>660</v>
      </c>
      <c r="K108" s="405" t="s">
        <v>660</v>
      </c>
      <c r="L108" s="405" t="s">
        <v>660</v>
      </c>
      <c r="M108" s="406" t="s">
        <v>660</v>
      </c>
      <c r="N108" s="395"/>
      <c r="O108" s="1033"/>
      <c r="P108" s="1034"/>
      <c r="Q108" s="1035"/>
      <c r="R108" s="280"/>
      <c r="S108" s="1036"/>
      <c r="T108" s="1037"/>
    </row>
    <row r="109" spans="2:20" ht="14.25" customHeight="1">
      <c r="B109" s="1463" t="s">
        <v>377</v>
      </c>
      <c r="C109" s="459" t="s">
        <v>378</v>
      </c>
      <c r="D109" s="429">
        <v>0</v>
      </c>
      <c r="E109" s="432">
        <v>0</v>
      </c>
      <c r="F109" s="432">
        <v>0</v>
      </c>
      <c r="G109" s="432">
        <v>0</v>
      </c>
      <c r="H109" s="433">
        <v>0.7782272683455287</v>
      </c>
      <c r="I109" s="431">
        <v>0</v>
      </c>
      <c r="J109" s="432">
        <v>0</v>
      </c>
      <c r="K109" s="432">
        <v>0</v>
      </c>
      <c r="L109" s="432">
        <v>0</v>
      </c>
      <c r="M109" s="433">
        <v>0</v>
      </c>
      <c r="N109" s="395"/>
      <c r="O109" s="1038">
        <v>0</v>
      </c>
      <c r="P109" s="1039">
        <v>0.7782272683455287</v>
      </c>
      <c r="Q109" s="1040">
        <v>0.7782272683455287</v>
      </c>
      <c r="R109" s="280"/>
      <c r="S109" s="1038">
        <v>0</v>
      </c>
      <c r="T109" s="1046">
        <v>-1</v>
      </c>
    </row>
    <row r="110" spans="2:20" ht="14.25">
      <c r="B110" s="1464"/>
      <c r="C110" s="459" t="s">
        <v>379</v>
      </c>
      <c r="D110" s="434">
        <v>0</v>
      </c>
      <c r="E110" s="437">
        <v>0.39835136373760854</v>
      </c>
      <c r="F110" s="437">
        <v>0.3986151426096505</v>
      </c>
      <c r="G110" s="437">
        <v>1.004710419783853</v>
      </c>
      <c r="H110" s="438">
        <v>0.6670519442961674</v>
      </c>
      <c r="I110" s="436">
        <v>1.0598162282997243</v>
      </c>
      <c r="J110" s="437">
        <v>1.1410684372691722</v>
      </c>
      <c r="K110" s="437">
        <v>1.2431337516173968</v>
      </c>
      <c r="L110" s="437">
        <v>1.3435407077179335</v>
      </c>
      <c r="M110" s="438">
        <v>1.4617010821114007</v>
      </c>
      <c r="N110" s="395"/>
      <c r="O110" s="1038">
        <v>0.7969665063472591</v>
      </c>
      <c r="P110" s="1039">
        <v>1.6717623640800205</v>
      </c>
      <c r="Q110" s="1040">
        <v>2.4687288704272796</v>
      </c>
      <c r="R110" s="280"/>
      <c r="S110" s="1038">
        <v>6.249260207015628</v>
      </c>
      <c r="T110" s="1046">
        <v>1.531367572144132</v>
      </c>
    </row>
    <row r="111" spans="2:20" ht="14.25">
      <c r="B111" s="1464"/>
      <c r="C111" s="459" t="s">
        <v>380</v>
      </c>
      <c r="D111" s="434">
        <v>0</v>
      </c>
      <c r="E111" s="437">
        <v>0.19917568186880427</v>
      </c>
      <c r="F111" s="437">
        <v>0.19930757130482524</v>
      </c>
      <c r="G111" s="437">
        <v>0.5581724554354739</v>
      </c>
      <c r="H111" s="438">
        <v>0.3335259721480837</v>
      </c>
      <c r="I111" s="436">
        <v>1.8016875881095318</v>
      </c>
      <c r="J111" s="437">
        <v>1.8672028973495542</v>
      </c>
      <c r="K111" s="437">
        <v>2.0718895860289948</v>
      </c>
      <c r="L111" s="437">
        <v>2.170334989390508</v>
      </c>
      <c r="M111" s="438">
        <v>2.296958843317916</v>
      </c>
      <c r="N111" s="395"/>
      <c r="O111" s="1038"/>
      <c r="P111" s="1039"/>
      <c r="Q111" s="1040"/>
      <c r="R111" s="280"/>
      <c r="S111" s="1038"/>
      <c r="T111" s="1046"/>
    </row>
    <row r="112" spans="2:20" ht="14.25">
      <c r="B112" s="1464"/>
      <c r="C112" s="459" t="s">
        <v>381</v>
      </c>
      <c r="D112" s="434">
        <v>0</v>
      </c>
      <c r="E112" s="437">
        <v>0</v>
      </c>
      <c r="F112" s="437">
        <v>0</v>
      </c>
      <c r="G112" s="437">
        <v>0</v>
      </c>
      <c r="H112" s="438">
        <v>0</v>
      </c>
      <c r="I112" s="436">
        <v>0</v>
      </c>
      <c r="J112" s="437">
        <v>0</v>
      </c>
      <c r="K112" s="437">
        <v>0</v>
      </c>
      <c r="L112" s="437">
        <v>0</v>
      </c>
      <c r="M112" s="438">
        <v>0</v>
      </c>
      <c r="N112" s="395"/>
      <c r="O112" s="1038"/>
      <c r="P112" s="1039"/>
      <c r="Q112" s="1040"/>
      <c r="R112" s="280"/>
      <c r="S112" s="1038"/>
      <c r="T112" s="1046"/>
    </row>
    <row r="113" spans="2:20" ht="14.25">
      <c r="B113" s="1464"/>
      <c r="C113" s="459" t="s">
        <v>382</v>
      </c>
      <c r="D113" s="434">
        <v>0</v>
      </c>
      <c r="E113" s="437">
        <v>0</v>
      </c>
      <c r="F113" s="437">
        <v>0</v>
      </c>
      <c r="G113" s="437">
        <v>0</v>
      </c>
      <c r="H113" s="438">
        <v>0</v>
      </c>
      <c r="I113" s="436">
        <v>0</v>
      </c>
      <c r="J113" s="437">
        <v>0</v>
      </c>
      <c r="K113" s="437">
        <v>0</v>
      </c>
      <c r="L113" s="437">
        <v>0</v>
      </c>
      <c r="M113" s="438">
        <v>0</v>
      </c>
      <c r="N113" s="395"/>
      <c r="O113" s="1038"/>
      <c r="P113" s="1039"/>
      <c r="Q113" s="1040"/>
      <c r="R113" s="280"/>
      <c r="S113" s="1038"/>
      <c r="T113" s="1046"/>
    </row>
    <row r="114" spans="2:20" ht="14.25">
      <c r="B114" s="1465"/>
      <c r="C114" s="460" t="s">
        <v>494</v>
      </c>
      <c r="D114" s="461">
        <v>0</v>
      </c>
      <c r="E114" s="461">
        <v>0.5975270456064128</v>
      </c>
      <c r="F114" s="461">
        <v>0.5979227139144757</v>
      </c>
      <c r="G114" s="461">
        <v>1.562882875219327</v>
      </c>
      <c r="H114" s="462">
        <v>1.7788051847897797</v>
      </c>
      <c r="I114" s="463">
        <v>2.861503816409256</v>
      </c>
      <c r="J114" s="461">
        <v>3.008271334618726</v>
      </c>
      <c r="K114" s="461">
        <v>3.315023337646392</v>
      </c>
      <c r="L114" s="461">
        <v>3.5138756971084417</v>
      </c>
      <c r="M114" s="462">
        <v>3.758659925429317</v>
      </c>
      <c r="N114" s="395"/>
      <c r="O114" s="1038">
        <v>1.1954497595208884</v>
      </c>
      <c r="P114" s="1039">
        <v>3.3416880600091066</v>
      </c>
      <c r="Q114" s="1040">
        <v>4.537137819529995</v>
      </c>
      <c r="R114" s="280"/>
      <c r="S114" s="1038">
        <v>16.457334111212134</v>
      </c>
      <c r="T114" s="1046">
        <v>2.627250210556081</v>
      </c>
    </row>
    <row r="115" spans="2:20" ht="14.25" customHeight="1">
      <c r="B115" s="1463" t="s">
        <v>694</v>
      </c>
      <c r="C115" s="459" t="s">
        <v>378</v>
      </c>
      <c r="D115" s="434">
        <v>5.468788257182907</v>
      </c>
      <c r="E115" s="437">
        <v>8.664142161292984</v>
      </c>
      <c r="F115" s="437">
        <v>9.766070993936436</v>
      </c>
      <c r="G115" s="437">
        <v>11.833256055232045</v>
      </c>
      <c r="H115" s="438">
        <v>9.449902544195705</v>
      </c>
      <c r="I115" s="436">
        <v>9.856290923187437</v>
      </c>
      <c r="J115" s="437">
        <v>8.92108050955898</v>
      </c>
      <c r="K115" s="437">
        <v>8.287558344115979</v>
      </c>
      <c r="L115" s="437">
        <v>7.751196390680386</v>
      </c>
      <c r="M115" s="438">
        <v>7.308505410557005</v>
      </c>
      <c r="N115" s="395"/>
      <c r="O115" s="1038">
        <v>23.899001412412325</v>
      </c>
      <c r="P115" s="1039">
        <v>21.28315859942775</v>
      </c>
      <c r="Q115" s="1040">
        <v>45.18216001184008</v>
      </c>
      <c r="R115" s="280"/>
      <c r="S115" s="1038">
        <v>42.12463157809979</v>
      </c>
      <c r="T115" s="1046">
        <v>-0.06767114349865219</v>
      </c>
    </row>
    <row r="116" spans="2:20" ht="14.25">
      <c r="B116" s="1464"/>
      <c r="C116" s="459" t="s">
        <v>379</v>
      </c>
      <c r="D116" s="434">
        <v>0</v>
      </c>
      <c r="E116" s="437">
        <v>0</v>
      </c>
      <c r="F116" s="437">
        <v>0</v>
      </c>
      <c r="G116" s="437">
        <v>0</v>
      </c>
      <c r="H116" s="438">
        <v>0</v>
      </c>
      <c r="I116" s="436">
        <v>0</v>
      </c>
      <c r="J116" s="437">
        <v>0</v>
      </c>
      <c r="K116" s="437">
        <v>0</v>
      </c>
      <c r="L116" s="437">
        <v>0</v>
      </c>
      <c r="M116" s="438">
        <v>0</v>
      </c>
      <c r="N116" s="395"/>
      <c r="O116" s="1038">
        <v>0</v>
      </c>
      <c r="P116" s="1039">
        <v>0</v>
      </c>
      <c r="Q116" s="1040">
        <v>0</v>
      </c>
      <c r="R116" s="280"/>
      <c r="S116" s="1038">
        <v>0</v>
      </c>
      <c r="T116" s="1046" t="s">
        <v>708</v>
      </c>
    </row>
    <row r="117" spans="2:20" ht="14.25">
      <c r="B117" s="1464"/>
      <c r="C117" s="459" t="s">
        <v>380</v>
      </c>
      <c r="D117" s="434">
        <v>0.2982975413008858</v>
      </c>
      <c r="E117" s="437">
        <v>0.39835136373760854</v>
      </c>
      <c r="F117" s="437">
        <v>0.4982689282620631</v>
      </c>
      <c r="G117" s="437">
        <v>0.5581724554354739</v>
      </c>
      <c r="H117" s="438">
        <v>0.5558766202468062</v>
      </c>
      <c r="I117" s="436">
        <v>0</v>
      </c>
      <c r="J117" s="437">
        <v>0</v>
      </c>
      <c r="K117" s="437">
        <v>0</v>
      </c>
      <c r="L117" s="437">
        <v>0</v>
      </c>
      <c r="M117" s="438">
        <v>0</v>
      </c>
      <c r="N117" s="395"/>
      <c r="O117" s="1038"/>
      <c r="P117" s="1039"/>
      <c r="Q117" s="1040"/>
      <c r="R117" s="280"/>
      <c r="S117" s="1038"/>
      <c r="T117" s="1046"/>
    </row>
    <row r="118" spans="2:20" ht="14.25">
      <c r="B118" s="1464"/>
      <c r="C118" s="459" t="s">
        <v>381</v>
      </c>
      <c r="D118" s="434">
        <v>0</v>
      </c>
      <c r="E118" s="437">
        <v>0</v>
      </c>
      <c r="F118" s="437">
        <v>0</v>
      </c>
      <c r="G118" s="437">
        <v>0</v>
      </c>
      <c r="H118" s="438">
        <v>0</v>
      </c>
      <c r="I118" s="436">
        <v>0</v>
      </c>
      <c r="J118" s="437">
        <v>0</v>
      </c>
      <c r="K118" s="437">
        <v>0</v>
      </c>
      <c r="L118" s="437">
        <v>0</v>
      </c>
      <c r="M118" s="438">
        <v>0</v>
      </c>
      <c r="N118" s="395"/>
      <c r="O118" s="1038"/>
      <c r="P118" s="1039"/>
      <c r="Q118" s="1040"/>
      <c r="R118" s="280"/>
      <c r="S118" s="1038"/>
      <c r="T118" s="1046"/>
    </row>
    <row r="119" spans="2:20" ht="14.25">
      <c r="B119" s="1464"/>
      <c r="C119" s="459" t="s">
        <v>382</v>
      </c>
      <c r="D119" s="434">
        <v>0</v>
      </c>
      <c r="E119" s="437">
        <v>0</v>
      </c>
      <c r="F119" s="437">
        <v>0</v>
      </c>
      <c r="G119" s="437">
        <v>0</v>
      </c>
      <c r="H119" s="438">
        <v>0</v>
      </c>
      <c r="I119" s="436">
        <v>0</v>
      </c>
      <c r="J119" s="437">
        <v>0</v>
      </c>
      <c r="K119" s="437">
        <v>0</v>
      </c>
      <c r="L119" s="437">
        <v>0</v>
      </c>
      <c r="M119" s="438">
        <v>0</v>
      </c>
      <c r="N119" s="395"/>
      <c r="O119" s="1038"/>
      <c r="P119" s="1039"/>
      <c r="Q119" s="1040"/>
      <c r="R119" s="280"/>
      <c r="S119" s="1038"/>
      <c r="T119" s="1046"/>
    </row>
    <row r="120" spans="2:20" ht="14.25">
      <c r="B120" s="1465"/>
      <c r="C120" s="460" t="s">
        <v>494</v>
      </c>
      <c r="D120" s="461">
        <v>5.767085798483793</v>
      </c>
      <c r="E120" s="461">
        <v>9.062493525030593</v>
      </c>
      <c r="F120" s="461">
        <v>10.264339922198499</v>
      </c>
      <c r="G120" s="461">
        <v>12.391428510667518</v>
      </c>
      <c r="H120" s="462">
        <v>10.005779164442512</v>
      </c>
      <c r="I120" s="463">
        <v>9.856290923187437</v>
      </c>
      <c r="J120" s="461">
        <v>8.92108050955898</v>
      </c>
      <c r="K120" s="461">
        <v>8.287558344115979</v>
      </c>
      <c r="L120" s="461">
        <v>7.751196390680386</v>
      </c>
      <c r="M120" s="462">
        <v>7.308505410557005</v>
      </c>
      <c r="N120" s="395"/>
      <c r="O120" s="1038">
        <v>25.093919245712883</v>
      </c>
      <c r="P120" s="1039">
        <v>22.39720767511003</v>
      </c>
      <c r="Q120" s="1040">
        <v>47.49112692082291</v>
      </c>
      <c r="R120" s="280"/>
      <c r="S120" s="1038">
        <v>42.12463157809979</v>
      </c>
      <c r="T120" s="1046">
        <v>-0.1129999579009807</v>
      </c>
    </row>
    <row r="121" spans="2:20" ht="14.25" customHeight="1">
      <c r="B121" s="1467" t="s">
        <v>368</v>
      </c>
      <c r="C121" s="459" t="s">
        <v>378</v>
      </c>
      <c r="D121" s="434">
        <v>0.3977300550678478</v>
      </c>
      <c r="E121" s="437">
        <v>0.09958784093440214</v>
      </c>
      <c r="F121" s="437">
        <v>0</v>
      </c>
      <c r="G121" s="437">
        <v>2.4559588039160856</v>
      </c>
      <c r="H121" s="438">
        <v>0.44470129619744503</v>
      </c>
      <c r="I121" s="436">
        <v>0.21196324565994493</v>
      </c>
      <c r="J121" s="437">
        <v>0</v>
      </c>
      <c r="K121" s="437">
        <v>0.828755834411598</v>
      </c>
      <c r="L121" s="437">
        <v>0.41339714083628726</v>
      </c>
      <c r="M121" s="438">
        <v>0</v>
      </c>
      <c r="N121" s="395"/>
      <c r="O121" s="1038">
        <v>0.49731789600224996</v>
      </c>
      <c r="P121" s="1039">
        <v>2.9006601001135306</v>
      </c>
      <c r="Q121" s="1040">
        <v>3.3979779961157806</v>
      </c>
      <c r="R121" s="280"/>
      <c r="S121" s="1038">
        <v>1.4541162209078302</v>
      </c>
      <c r="T121" s="1046">
        <v>-0.572064262167081</v>
      </c>
    </row>
    <row r="122" spans="2:20" ht="14.25" customHeight="1">
      <c r="B122" s="1463"/>
      <c r="C122" s="459" t="s">
        <v>379</v>
      </c>
      <c r="D122" s="434">
        <v>0</v>
      </c>
      <c r="E122" s="437">
        <v>0</v>
      </c>
      <c r="F122" s="437">
        <v>0</v>
      </c>
      <c r="G122" s="437">
        <v>0</v>
      </c>
      <c r="H122" s="438">
        <v>0</v>
      </c>
      <c r="I122" s="436">
        <v>0.21196324565994493</v>
      </c>
      <c r="J122" s="437">
        <v>3.8381392889963055</v>
      </c>
      <c r="K122" s="437">
        <v>1.8647006274260953</v>
      </c>
      <c r="L122" s="437">
        <v>5.477512116080805</v>
      </c>
      <c r="M122" s="438">
        <v>2.505773283619544</v>
      </c>
      <c r="N122" s="395"/>
      <c r="O122" s="1038">
        <v>0</v>
      </c>
      <c r="P122" s="1039">
        <v>0</v>
      </c>
      <c r="Q122" s="1040">
        <v>0</v>
      </c>
      <c r="R122" s="280"/>
      <c r="S122" s="1038">
        <v>13.898088561782695</v>
      </c>
      <c r="T122" s="1046" t="s">
        <v>708</v>
      </c>
    </row>
    <row r="123" spans="2:20" ht="14.25" customHeight="1">
      <c r="B123" s="1463"/>
      <c r="C123" s="459" t="s">
        <v>380</v>
      </c>
      <c r="D123" s="434">
        <v>0</v>
      </c>
      <c r="E123" s="437">
        <v>0</v>
      </c>
      <c r="F123" s="437">
        <v>0</v>
      </c>
      <c r="G123" s="437">
        <v>0</v>
      </c>
      <c r="H123" s="438">
        <v>0</v>
      </c>
      <c r="I123" s="436">
        <v>0</v>
      </c>
      <c r="J123" s="437">
        <v>0</v>
      </c>
      <c r="K123" s="437">
        <v>0</v>
      </c>
      <c r="L123" s="437">
        <v>0</v>
      </c>
      <c r="M123" s="438">
        <v>0</v>
      </c>
      <c r="N123" s="395"/>
      <c r="O123" s="1038"/>
      <c r="P123" s="1039"/>
      <c r="Q123" s="1040"/>
      <c r="R123" s="280"/>
      <c r="S123" s="1038"/>
      <c r="T123" s="1046"/>
    </row>
    <row r="124" spans="2:20" ht="14.25" customHeight="1">
      <c r="B124" s="1463"/>
      <c r="C124" s="459" t="s">
        <v>382</v>
      </c>
      <c r="D124" s="434">
        <v>0</v>
      </c>
      <c r="E124" s="437">
        <v>0</v>
      </c>
      <c r="F124" s="437">
        <v>0</v>
      </c>
      <c r="G124" s="437">
        <v>0</v>
      </c>
      <c r="H124" s="438">
        <v>0</v>
      </c>
      <c r="I124" s="436">
        <v>0</v>
      </c>
      <c r="J124" s="437">
        <v>0</v>
      </c>
      <c r="K124" s="437">
        <v>0</v>
      </c>
      <c r="L124" s="437">
        <v>0</v>
      </c>
      <c r="M124" s="438">
        <v>0</v>
      </c>
      <c r="N124" s="395"/>
      <c r="O124" s="1038"/>
      <c r="P124" s="1039"/>
      <c r="Q124" s="1040"/>
      <c r="R124" s="280"/>
      <c r="S124" s="1038"/>
      <c r="T124" s="1046"/>
    </row>
    <row r="125" spans="2:20" ht="14.25" customHeight="1">
      <c r="B125" s="1467" t="s">
        <v>369</v>
      </c>
      <c r="C125" s="459" t="s">
        <v>370</v>
      </c>
      <c r="D125" s="434">
        <v>0</v>
      </c>
      <c r="E125" s="437">
        <v>0</v>
      </c>
      <c r="F125" s="437">
        <v>0</v>
      </c>
      <c r="G125" s="437">
        <v>0</v>
      </c>
      <c r="H125" s="438">
        <v>0</v>
      </c>
      <c r="I125" s="436">
        <v>0</v>
      </c>
      <c r="J125" s="437">
        <v>0</v>
      </c>
      <c r="K125" s="437">
        <v>0</v>
      </c>
      <c r="L125" s="437">
        <v>0</v>
      </c>
      <c r="M125" s="438">
        <v>0</v>
      </c>
      <c r="N125" s="395"/>
      <c r="O125" s="1038">
        <v>0</v>
      </c>
      <c r="P125" s="1039">
        <v>0</v>
      </c>
      <c r="Q125" s="1040">
        <v>0</v>
      </c>
      <c r="R125" s="280"/>
      <c r="S125" s="1038">
        <v>0</v>
      </c>
      <c r="T125" s="1046" t="s">
        <v>708</v>
      </c>
    </row>
    <row r="126" spans="2:20" ht="14.25" customHeight="1">
      <c r="B126" s="1463"/>
      <c r="C126" s="464" t="s">
        <v>371</v>
      </c>
      <c r="D126" s="434">
        <v>0</v>
      </c>
      <c r="E126" s="437">
        <v>0</v>
      </c>
      <c r="F126" s="437">
        <v>0</v>
      </c>
      <c r="G126" s="437">
        <v>0</v>
      </c>
      <c r="H126" s="438">
        <v>0</v>
      </c>
      <c r="I126" s="436">
        <v>0</v>
      </c>
      <c r="J126" s="437">
        <v>0</v>
      </c>
      <c r="K126" s="437">
        <v>0</v>
      </c>
      <c r="L126" s="437">
        <v>0</v>
      </c>
      <c r="M126" s="438">
        <v>0</v>
      </c>
      <c r="N126" s="395"/>
      <c r="O126" s="1038">
        <v>0</v>
      </c>
      <c r="P126" s="1039">
        <v>0</v>
      </c>
      <c r="Q126" s="1040">
        <v>0</v>
      </c>
      <c r="R126" s="280"/>
      <c r="S126" s="1038">
        <v>0</v>
      </c>
      <c r="T126" s="1046" t="s">
        <v>708</v>
      </c>
    </row>
    <row r="127" spans="2:20" ht="14.25" customHeight="1">
      <c r="B127" s="1463"/>
      <c r="C127" s="459" t="s">
        <v>380</v>
      </c>
      <c r="D127" s="434">
        <v>0</v>
      </c>
      <c r="E127" s="434">
        <v>0</v>
      </c>
      <c r="F127" s="434">
        <v>0</v>
      </c>
      <c r="G127" s="434">
        <v>0</v>
      </c>
      <c r="H127" s="435">
        <v>0</v>
      </c>
      <c r="I127" s="436">
        <v>0</v>
      </c>
      <c r="J127" s="434">
        <v>0.20746698859439494</v>
      </c>
      <c r="K127" s="434">
        <v>0</v>
      </c>
      <c r="L127" s="434">
        <v>0</v>
      </c>
      <c r="M127" s="435">
        <v>0</v>
      </c>
      <c r="N127" s="395"/>
      <c r="O127" s="1038"/>
      <c r="P127" s="1039"/>
      <c r="Q127" s="1040"/>
      <c r="R127" s="280"/>
      <c r="S127" s="1038"/>
      <c r="T127" s="1046"/>
    </row>
    <row r="128" spans="2:20" ht="14.25" customHeight="1">
      <c r="B128" s="1463"/>
      <c r="C128" s="459" t="s">
        <v>372</v>
      </c>
      <c r="D128" s="434">
        <v>0</v>
      </c>
      <c r="E128" s="434">
        <v>0</v>
      </c>
      <c r="F128" s="434">
        <v>0</v>
      </c>
      <c r="G128" s="434">
        <v>0</v>
      </c>
      <c r="H128" s="435">
        <v>0</v>
      </c>
      <c r="I128" s="436">
        <v>0</v>
      </c>
      <c r="J128" s="434">
        <v>0</v>
      </c>
      <c r="K128" s="434">
        <v>1.1395392723159472</v>
      </c>
      <c r="L128" s="434">
        <v>0.6200957112544309</v>
      </c>
      <c r="M128" s="435">
        <v>0</v>
      </c>
      <c r="N128" s="395"/>
      <c r="O128" s="1038"/>
      <c r="P128" s="1039"/>
      <c r="Q128" s="1040"/>
      <c r="R128" s="280"/>
      <c r="S128" s="1038"/>
      <c r="T128" s="1046"/>
    </row>
    <row r="129" spans="2:20" ht="15">
      <c r="B129" s="1047" t="s">
        <v>373</v>
      </c>
      <c r="C129" s="460" t="s">
        <v>494</v>
      </c>
      <c r="D129" s="461">
        <v>0.3977300550678478</v>
      </c>
      <c r="E129" s="461">
        <v>0.09958784093440214</v>
      </c>
      <c r="F129" s="461">
        <v>0</v>
      </c>
      <c r="G129" s="461">
        <v>2.4559588039160856</v>
      </c>
      <c r="H129" s="462">
        <v>0.44470129619744503</v>
      </c>
      <c r="I129" s="463">
        <v>0.42392649131988985</v>
      </c>
      <c r="J129" s="461">
        <v>4.0456062775907</v>
      </c>
      <c r="K129" s="461">
        <v>3.8329957341536405</v>
      </c>
      <c r="L129" s="461">
        <v>6.511004968171523</v>
      </c>
      <c r="M129" s="462">
        <v>2.505773283619544</v>
      </c>
      <c r="N129" s="395"/>
      <c r="O129" s="1038">
        <v>0.49731789600224996</v>
      </c>
      <c r="P129" s="1039">
        <v>2.9006601001135306</v>
      </c>
      <c r="Q129" s="1040">
        <v>3.3979779961157806</v>
      </c>
      <c r="R129" s="280"/>
      <c r="S129" s="1038">
        <v>17.319306754855297</v>
      </c>
      <c r="T129" s="1046">
        <v>4.096944940388946</v>
      </c>
    </row>
    <row r="130" spans="2:20" ht="14.25" customHeight="1">
      <c r="B130" s="1467" t="s">
        <v>498</v>
      </c>
      <c r="C130" s="459" t="s">
        <v>378</v>
      </c>
      <c r="D130" s="434">
        <v>0</v>
      </c>
      <c r="E130" s="437">
        <v>0</v>
      </c>
      <c r="F130" s="437">
        <v>0</v>
      </c>
      <c r="G130" s="437">
        <v>0</v>
      </c>
      <c r="H130" s="438">
        <v>0</v>
      </c>
      <c r="I130" s="436">
        <v>0</v>
      </c>
      <c r="J130" s="437">
        <v>0</v>
      </c>
      <c r="K130" s="437">
        <v>0</v>
      </c>
      <c r="L130" s="437">
        <v>0</v>
      </c>
      <c r="M130" s="438">
        <v>0</v>
      </c>
      <c r="N130" s="395"/>
      <c r="O130" s="1038">
        <v>0</v>
      </c>
      <c r="P130" s="1039">
        <v>0</v>
      </c>
      <c r="Q130" s="1040">
        <v>0</v>
      </c>
      <c r="R130" s="280"/>
      <c r="S130" s="1038">
        <v>0</v>
      </c>
      <c r="T130" s="1046" t="s">
        <v>708</v>
      </c>
    </row>
    <row r="131" spans="2:20" ht="14.25" customHeight="1">
      <c r="B131" s="1463"/>
      <c r="C131" s="459" t="s">
        <v>379</v>
      </c>
      <c r="D131" s="434">
        <v>0</v>
      </c>
      <c r="E131" s="437">
        <v>0</v>
      </c>
      <c r="F131" s="437">
        <v>0</v>
      </c>
      <c r="G131" s="437">
        <v>0</v>
      </c>
      <c r="H131" s="438">
        <v>0</v>
      </c>
      <c r="I131" s="436">
        <v>0</v>
      </c>
      <c r="J131" s="437">
        <v>0</v>
      </c>
      <c r="K131" s="437">
        <v>0</v>
      </c>
      <c r="L131" s="437">
        <v>0</v>
      </c>
      <c r="M131" s="438">
        <v>0</v>
      </c>
      <c r="N131" s="395"/>
      <c r="O131" s="1038">
        <v>0</v>
      </c>
      <c r="P131" s="1039">
        <v>0</v>
      </c>
      <c r="Q131" s="1040">
        <v>0</v>
      </c>
      <c r="R131" s="280"/>
      <c r="S131" s="1038">
        <v>0</v>
      </c>
      <c r="T131" s="1046" t="s">
        <v>708</v>
      </c>
    </row>
    <row r="132" spans="2:20" ht="14.25" customHeight="1">
      <c r="B132" s="1463"/>
      <c r="C132" s="459" t="s">
        <v>380</v>
      </c>
      <c r="D132" s="434">
        <v>0</v>
      </c>
      <c r="E132" s="437">
        <v>0</v>
      </c>
      <c r="F132" s="437">
        <v>0</v>
      </c>
      <c r="G132" s="437">
        <v>0</v>
      </c>
      <c r="H132" s="438">
        <v>0</v>
      </c>
      <c r="I132" s="436">
        <v>0</v>
      </c>
      <c r="J132" s="437">
        <v>0</v>
      </c>
      <c r="K132" s="437">
        <v>0</v>
      </c>
      <c r="L132" s="437">
        <v>0</v>
      </c>
      <c r="M132" s="438">
        <v>0</v>
      </c>
      <c r="N132" s="395"/>
      <c r="O132" s="1038"/>
      <c r="P132" s="1039"/>
      <c r="Q132" s="1040"/>
      <c r="R132" s="280"/>
      <c r="S132" s="1038"/>
      <c r="T132" s="1046"/>
    </row>
    <row r="133" spans="2:20" ht="14.25" customHeight="1">
      <c r="B133" s="1463"/>
      <c r="C133" s="459" t="s">
        <v>382</v>
      </c>
      <c r="D133" s="434">
        <v>0</v>
      </c>
      <c r="E133" s="437">
        <v>0</v>
      </c>
      <c r="F133" s="437">
        <v>0</v>
      </c>
      <c r="G133" s="437">
        <v>0</v>
      </c>
      <c r="H133" s="438">
        <v>0</v>
      </c>
      <c r="I133" s="436">
        <v>0</v>
      </c>
      <c r="J133" s="437">
        <v>0</v>
      </c>
      <c r="K133" s="437">
        <v>0</v>
      </c>
      <c r="L133" s="437">
        <v>0</v>
      </c>
      <c r="M133" s="438">
        <v>0</v>
      </c>
      <c r="N133" s="395"/>
      <c r="O133" s="1038"/>
      <c r="P133" s="1039"/>
      <c r="Q133" s="1040"/>
      <c r="R133" s="280"/>
      <c r="S133" s="1038"/>
      <c r="T133" s="1046"/>
    </row>
    <row r="134" spans="2:20" ht="14.25" customHeight="1">
      <c r="B134" s="1467" t="s">
        <v>499</v>
      </c>
      <c r="C134" s="459" t="s">
        <v>370</v>
      </c>
      <c r="D134" s="434">
        <v>0</v>
      </c>
      <c r="E134" s="437">
        <v>0</v>
      </c>
      <c r="F134" s="437">
        <v>0</v>
      </c>
      <c r="G134" s="437">
        <v>0</v>
      </c>
      <c r="H134" s="438">
        <v>0</v>
      </c>
      <c r="I134" s="436">
        <v>0</v>
      </c>
      <c r="J134" s="437">
        <v>0</v>
      </c>
      <c r="K134" s="437">
        <v>0</v>
      </c>
      <c r="L134" s="437">
        <v>0</v>
      </c>
      <c r="M134" s="438">
        <v>0</v>
      </c>
      <c r="N134" s="395"/>
      <c r="O134" s="1038"/>
      <c r="P134" s="1039"/>
      <c r="Q134" s="1040"/>
      <c r="R134" s="280"/>
      <c r="S134" s="1038"/>
      <c r="T134" s="1046"/>
    </row>
    <row r="135" spans="2:20" ht="14.25" customHeight="1">
      <c r="B135" s="1463"/>
      <c r="C135" s="464" t="s">
        <v>371</v>
      </c>
      <c r="D135" s="434">
        <v>0.09943251376696195</v>
      </c>
      <c r="E135" s="437">
        <v>4.581040682982498</v>
      </c>
      <c r="F135" s="437">
        <v>6.975764995668883</v>
      </c>
      <c r="G135" s="437">
        <v>4.688648625657981</v>
      </c>
      <c r="H135" s="438">
        <v>2.3346818050365865</v>
      </c>
      <c r="I135" s="436">
        <v>4.451228158858844</v>
      </c>
      <c r="J135" s="437">
        <v>3.8381392889963055</v>
      </c>
      <c r="K135" s="437">
        <v>4.868940527168137</v>
      </c>
      <c r="L135" s="437">
        <v>4.237320693571944</v>
      </c>
      <c r="M135" s="438">
        <v>2.088144403016287</v>
      </c>
      <c r="N135" s="395"/>
      <c r="O135" s="1038">
        <v>11.656238192418343</v>
      </c>
      <c r="P135" s="1039">
        <v>7.023330430694568</v>
      </c>
      <c r="Q135" s="1040">
        <v>18.679568623112914</v>
      </c>
      <c r="R135" s="280"/>
      <c r="S135" s="1038">
        <v>19.483773071611516</v>
      </c>
      <c r="T135" s="1046">
        <v>0.043052624218716196</v>
      </c>
    </row>
    <row r="136" spans="2:20" ht="14.25" customHeight="1">
      <c r="B136" s="1463"/>
      <c r="C136" s="459" t="s">
        <v>380</v>
      </c>
      <c r="D136" s="434">
        <v>0</v>
      </c>
      <c r="E136" s="437">
        <v>0</v>
      </c>
      <c r="F136" s="437">
        <v>0</v>
      </c>
      <c r="G136" s="437">
        <v>7.814414376096634</v>
      </c>
      <c r="H136" s="438">
        <v>3.8911363417276434</v>
      </c>
      <c r="I136" s="436">
        <v>0</v>
      </c>
      <c r="J136" s="437">
        <v>0</v>
      </c>
      <c r="K136" s="437">
        <v>0</v>
      </c>
      <c r="L136" s="437">
        <v>0</v>
      </c>
      <c r="M136" s="438">
        <v>0</v>
      </c>
      <c r="N136" s="395"/>
      <c r="O136" s="1038"/>
      <c r="P136" s="1039"/>
      <c r="Q136" s="1040"/>
      <c r="R136" s="280"/>
      <c r="S136" s="1038"/>
      <c r="T136" s="1046"/>
    </row>
    <row r="137" spans="2:20" ht="14.25" customHeight="1">
      <c r="B137" s="1463"/>
      <c r="C137" s="459" t="s">
        <v>372</v>
      </c>
      <c r="D137" s="434">
        <v>0</v>
      </c>
      <c r="E137" s="437">
        <v>0</v>
      </c>
      <c r="F137" s="437">
        <v>0</v>
      </c>
      <c r="G137" s="437">
        <v>0</v>
      </c>
      <c r="H137" s="438">
        <v>0</v>
      </c>
      <c r="I137" s="436">
        <v>0</v>
      </c>
      <c r="J137" s="437">
        <v>0</v>
      </c>
      <c r="K137" s="437">
        <v>0</v>
      </c>
      <c r="L137" s="437">
        <v>0</v>
      </c>
      <c r="M137" s="438">
        <v>0</v>
      </c>
      <c r="N137" s="395"/>
      <c r="O137" s="1038">
        <v>0</v>
      </c>
      <c r="P137" s="1039">
        <v>0</v>
      </c>
      <c r="Q137" s="1040">
        <v>0</v>
      </c>
      <c r="R137" s="280"/>
      <c r="S137" s="1038">
        <v>0</v>
      </c>
      <c r="T137" s="1046" t="s">
        <v>708</v>
      </c>
    </row>
    <row r="138" spans="2:20" ht="15" thickBot="1">
      <c r="B138" s="465" t="s">
        <v>384</v>
      </c>
      <c r="C138" s="466" t="s">
        <v>494</v>
      </c>
      <c r="D138" s="467">
        <v>0.09943251376696195</v>
      </c>
      <c r="E138" s="467">
        <v>4.581040682982498</v>
      </c>
      <c r="F138" s="467">
        <v>6.975764995668883</v>
      </c>
      <c r="G138" s="467">
        <v>12.503063001754615</v>
      </c>
      <c r="H138" s="468">
        <v>6.2258181467642295</v>
      </c>
      <c r="I138" s="469">
        <v>4.451228158858844</v>
      </c>
      <c r="J138" s="467">
        <v>3.8381392889963055</v>
      </c>
      <c r="K138" s="467">
        <v>4.868940527168137</v>
      </c>
      <c r="L138" s="467">
        <v>4.237320693571944</v>
      </c>
      <c r="M138" s="468">
        <v>2.088144403016287</v>
      </c>
      <c r="N138" s="395"/>
      <c r="O138" s="1042">
        <v>11.656238192418343</v>
      </c>
      <c r="P138" s="1043">
        <v>18.728881148518845</v>
      </c>
      <c r="Q138" s="1044">
        <v>30.385119340937187</v>
      </c>
      <c r="R138" s="280"/>
      <c r="S138" s="1042">
        <v>19.483773071611516</v>
      </c>
      <c r="T138" s="1048">
        <v>-0.35877253424634514</v>
      </c>
    </row>
    <row r="139" spans="2:20" ht="14.25">
      <c r="B139" s="395"/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428"/>
      <c r="S139" s="428"/>
      <c r="T139" s="428"/>
    </row>
  </sheetData>
  <sheetProtection/>
  <mergeCells count="24">
    <mergeCell ref="B43:B44"/>
    <mergeCell ref="B121:B124"/>
    <mergeCell ref="B125:B128"/>
    <mergeCell ref="B130:B133"/>
    <mergeCell ref="B134:B137"/>
    <mergeCell ref="B115:B120"/>
    <mergeCell ref="B56:B61"/>
    <mergeCell ref="B62:B67"/>
    <mergeCell ref="B76:B77"/>
    <mergeCell ref="B78:B79"/>
    <mergeCell ref="B10:B11"/>
    <mergeCell ref="B12:B13"/>
    <mergeCell ref="B14:B16"/>
    <mergeCell ref="B17:B22"/>
    <mergeCell ref="B23:B28"/>
    <mergeCell ref="B29:B34"/>
    <mergeCell ref="B45:B46"/>
    <mergeCell ref="B47:B49"/>
    <mergeCell ref="B83:B88"/>
    <mergeCell ref="B89:B94"/>
    <mergeCell ref="B95:B100"/>
    <mergeCell ref="B109:B114"/>
    <mergeCell ref="B50:B55"/>
    <mergeCell ref="B80:B82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5"/>
  <sheetViews>
    <sheetView zoomScale="90" zoomScaleNormal="90" zoomScalePageLayoutView="0" workbookViewId="0" topLeftCell="A1">
      <selection activeCell="K12" sqref="K12"/>
    </sheetView>
  </sheetViews>
  <sheetFormatPr defaultColWidth="11.42187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916" t="s">
        <v>610</v>
      </c>
      <c r="F1" s="911" t="s">
        <v>795</v>
      </c>
    </row>
    <row r="2" ht="12.75">
      <c r="A2" s="916"/>
    </row>
    <row r="3" ht="12.75">
      <c r="A3" s="916" t="s">
        <v>256</v>
      </c>
    </row>
    <row r="4" ht="12.75">
      <c r="A4" s="916"/>
    </row>
    <row r="6" ht="13.5" thickBot="1"/>
    <row r="7" spans="2:10" ht="12.75">
      <c r="B7" s="973"/>
      <c r="C7" s="974"/>
      <c r="D7" s="974"/>
      <c r="E7" s="974" t="s">
        <v>395</v>
      </c>
      <c r="F7" s="975" t="s">
        <v>673</v>
      </c>
      <c r="G7" s="976" t="s">
        <v>396</v>
      </c>
      <c r="H7" s="470"/>
      <c r="I7" s="976" t="s">
        <v>397</v>
      </c>
      <c r="J7" s="470"/>
    </row>
    <row r="8" spans="2:11" ht="51">
      <c r="B8" s="977"/>
      <c r="C8" s="978"/>
      <c r="D8" s="978"/>
      <c r="E8" s="978"/>
      <c r="F8" s="979"/>
      <c r="G8" s="980" t="s">
        <v>398</v>
      </c>
      <c r="H8" s="981" t="s">
        <v>412</v>
      </c>
      <c r="I8" s="980" t="s">
        <v>398</v>
      </c>
      <c r="J8" s="981" t="s">
        <v>412</v>
      </c>
      <c r="K8" s="982" t="s">
        <v>707</v>
      </c>
    </row>
    <row r="9" spans="2:11" ht="13.5" thickBot="1">
      <c r="B9" s="983"/>
      <c r="C9" s="984"/>
      <c r="D9" s="984"/>
      <c r="E9" s="984"/>
      <c r="F9" s="985"/>
      <c r="G9" s="986" t="s">
        <v>413</v>
      </c>
      <c r="H9" s="987" t="s">
        <v>413</v>
      </c>
      <c r="I9" s="986" t="s">
        <v>413</v>
      </c>
      <c r="J9" s="987" t="s">
        <v>413</v>
      </c>
      <c r="K9" s="987" t="s">
        <v>413</v>
      </c>
    </row>
    <row r="10" spans="2:10" ht="12.75">
      <c r="B10" s="988"/>
      <c r="C10" s="989" t="s">
        <v>97</v>
      </c>
      <c r="D10" s="989"/>
      <c r="E10" s="990"/>
      <c r="F10" s="991"/>
      <c r="G10" s="992"/>
      <c r="H10" s="993"/>
      <c r="I10" s="992"/>
      <c r="J10" s="993"/>
    </row>
    <row r="11" spans="2:10" ht="12.75">
      <c r="B11" s="988"/>
      <c r="C11" s="990"/>
      <c r="D11" s="994" t="s">
        <v>883</v>
      </c>
      <c r="E11" s="990"/>
      <c r="F11" s="995"/>
      <c r="G11" s="996"/>
      <c r="H11" s="997"/>
      <c r="I11" s="996"/>
      <c r="J11" s="997"/>
    </row>
    <row r="12" spans="2:11" ht="12.75">
      <c r="B12" s="998"/>
      <c r="C12" s="990"/>
      <c r="D12" s="990"/>
      <c r="E12" s="990" t="s">
        <v>98</v>
      </c>
      <c r="F12" s="999" t="s">
        <v>844</v>
      </c>
      <c r="G12" s="471">
        <v>26.001</v>
      </c>
      <c r="H12" s="472">
        <v>5.212761613374064</v>
      </c>
      <c r="I12" s="471">
        <v>35.096</v>
      </c>
      <c r="J12" s="472">
        <v>6.604246577433044</v>
      </c>
      <c r="K12" s="1000">
        <f>SUM(I12:J12)</f>
        <v>41.70024657743304</v>
      </c>
    </row>
    <row r="13" spans="2:11" ht="12.75">
      <c r="B13" s="998"/>
      <c r="C13" s="990"/>
      <c r="D13" s="990"/>
      <c r="E13" s="990" t="s">
        <v>99</v>
      </c>
      <c r="F13" s="999" t="s">
        <v>519</v>
      </c>
      <c r="G13" s="471">
        <v>0.21400000000000002</v>
      </c>
      <c r="H13" s="472">
        <v>0.04290338776439559</v>
      </c>
      <c r="I13" s="471">
        <v>0.42800000000000005</v>
      </c>
      <c r="J13" s="472">
        <v>0.08053959240772005</v>
      </c>
      <c r="K13" s="1000">
        <f>SUM(I13:J13)</f>
        <v>0.5085395924077201</v>
      </c>
    </row>
    <row r="14" spans="2:10" ht="12.75">
      <c r="B14" s="998"/>
      <c r="C14" s="990"/>
      <c r="D14" s="990"/>
      <c r="E14" s="990"/>
      <c r="F14" s="999"/>
      <c r="G14" s="1001"/>
      <c r="H14" s="1002"/>
      <c r="I14" s="1001"/>
      <c r="J14" s="1002"/>
    </row>
    <row r="15" spans="2:10" ht="12.75">
      <c r="B15" s="998"/>
      <c r="C15" s="990"/>
      <c r="D15" s="994" t="s">
        <v>520</v>
      </c>
      <c r="E15" s="990"/>
      <c r="F15" s="999"/>
      <c r="G15" s="1001"/>
      <c r="H15" s="1002"/>
      <c r="I15" s="1001"/>
      <c r="J15" s="1002"/>
    </row>
    <row r="16" spans="2:11" ht="12.75">
      <c r="B16" s="998"/>
      <c r="C16" s="990"/>
      <c r="D16" s="990"/>
      <c r="E16" s="990" t="s">
        <v>521</v>
      </c>
      <c r="F16" s="999" t="s">
        <v>519</v>
      </c>
      <c r="G16" s="471">
        <v>0</v>
      </c>
      <c r="H16" s="472">
        <v>0</v>
      </c>
      <c r="I16" s="471">
        <v>0</v>
      </c>
      <c r="J16" s="472">
        <v>0</v>
      </c>
      <c r="K16" s="1000">
        <f>SUM(I16:J16)</f>
        <v>0</v>
      </c>
    </row>
    <row r="17" spans="2:10" ht="12.75">
      <c r="B17" s="998"/>
      <c r="C17" s="990"/>
      <c r="D17" s="990"/>
      <c r="E17" s="990"/>
      <c r="F17" s="999"/>
      <c r="G17" s="1001"/>
      <c r="H17" s="1002"/>
      <c r="I17" s="1001"/>
      <c r="J17" s="1002"/>
    </row>
    <row r="18" spans="2:10" ht="12.75">
      <c r="B18" s="998"/>
      <c r="C18" s="990"/>
      <c r="D18" s="994" t="s">
        <v>634</v>
      </c>
      <c r="E18" s="990"/>
      <c r="F18" s="999"/>
      <c r="G18" s="1001"/>
      <c r="H18" s="1002"/>
      <c r="I18" s="1001"/>
      <c r="J18" s="1002"/>
    </row>
    <row r="19" spans="2:11" ht="12.75">
      <c r="B19" s="998"/>
      <c r="C19" s="990"/>
      <c r="D19" s="994"/>
      <c r="E19" s="990" t="s">
        <v>423</v>
      </c>
      <c r="F19" s="999" t="s">
        <v>844</v>
      </c>
      <c r="G19" s="471">
        <v>103.46900000000001</v>
      </c>
      <c r="H19" s="472">
        <v>20.74378798408527</v>
      </c>
      <c r="I19" s="471">
        <v>107</v>
      </c>
      <c r="J19" s="472">
        <v>20.134898101930013</v>
      </c>
      <c r="K19" s="1000">
        <f>SUM(I19:J19)</f>
        <v>127.13489810193002</v>
      </c>
    </row>
    <row r="20" spans="2:11" ht="12.75">
      <c r="B20" s="998"/>
      <c r="C20" s="990"/>
      <c r="D20" s="994"/>
      <c r="E20" s="990" t="s">
        <v>386</v>
      </c>
      <c r="F20" s="999" t="s">
        <v>844</v>
      </c>
      <c r="G20" s="471">
        <v>103.46900000000001</v>
      </c>
      <c r="H20" s="472">
        <v>20.74378798408527</v>
      </c>
      <c r="I20" s="471">
        <v>107</v>
      </c>
      <c r="J20" s="472">
        <v>20.134898101930013</v>
      </c>
      <c r="K20" s="1000">
        <f>SUM(I20:J20)</f>
        <v>127.13489810193002</v>
      </c>
    </row>
    <row r="21" spans="2:11" ht="12.75">
      <c r="B21" s="998"/>
      <c r="C21" s="990"/>
      <c r="D21" s="994"/>
      <c r="E21" s="990" t="s">
        <v>387</v>
      </c>
      <c r="F21" s="999" t="s">
        <v>844</v>
      </c>
      <c r="G21" s="471">
        <v>103.46900000000001</v>
      </c>
      <c r="H21" s="472">
        <v>20.74378798408527</v>
      </c>
      <c r="I21" s="471">
        <v>107</v>
      </c>
      <c r="J21" s="472">
        <v>20.134898101930013</v>
      </c>
      <c r="K21" s="1000">
        <f>SUM(I21:J21)</f>
        <v>127.13489810193002</v>
      </c>
    </row>
    <row r="22" spans="2:11" ht="12.75">
      <c r="B22" s="998"/>
      <c r="C22" s="990"/>
      <c r="D22" s="994"/>
      <c r="E22" s="990" t="s">
        <v>388</v>
      </c>
      <c r="F22" s="999" t="s">
        <v>519</v>
      </c>
      <c r="G22" s="471">
        <v>1.05982965</v>
      </c>
      <c r="H22" s="472">
        <v>0.21247795531847505</v>
      </c>
      <c r="I22" s="471">
        <v>1.4308254</v>
      </c>
      <c r="J22" s="472">
        <v>0.2692478843986285</v>
      </c>
      <c r="K22" s="1000">
        <f>SUM(I22:J22)</f>
        <v>1.7000732843986286</v>
      </c>
    </row>
    <row r="23" spans="2:10" ht="12.75">
      <c r="B23" s="998"/>
      <c r="C23" s="990"/>
      <c r="D23" s="990"/>
      <c r="E23" s="990"/>
      <c r="F23" s="999"/>
      <c r="G23" s="1001"/>
      <c r="H23" s="1002"/>
      <c r="I23" s="1001"/>
      <c r="J23" s="1002"/>
    </row>
    <row r="24" spans="2:10" ht="12.75">
      <c r="B24" s="998"/>
      <c r="C24" s="990"/>
      <c r="D24" s="994" t="s">
        <v>391</v>
      </c>
      <c r="E24" s="990"/>
      <c r="F24" s="999"/>
      <c r="G24" s="1001"/>
      <c r="H24" s="1002"/>
      <c r="I24" s="1001"/>
      <c r="J24" s="1002"/>
    </row>
    <row r="25" spans="2:11" ht="12.75">
      <c r="B25" s="998"/>
      <c r="C25" s="990"/>
      <c r="D25" s="994"/>
      <c r="E25" s="990" t="s">
        <v>392</v>
      </c>
      <c r="F25" s="999" t="s">
        <v>519</v>
      </c>
      <c r="G25" s="471">
        <v>3.4240000000000004</v>
      </c>
      <c r="H25" s="472">
        <v>0.6864542042303294</v>
      </c>
      <c r="I25" s="471">
        <v>4.815</v>
      </c>
      <c r="J25" s="472">
        <v>0.9060704145868506</v>
      </c>
      <c r="K25" s="1000">
        <f>SUM(I25:J25)</f>
        <v>5.721070414586851</v>
      </c>
    </row>
    <row r="26" spans="2:11" ht="12.75">
      <c r="B26" s="998"/>
      <c r="C26" s="990"/>
      <c r="D26" s="994"/>
      <c r="E26" s="990" t="s">
        <v>393</v>
      </c>
      <c r="F26" s="999" t="s">
        <v>519</v>
      </c>
      <c r="G26" s="471">
        <v>3.4240000000000004</v>
      </c>
      <c r="H26" s="472">
        <v>0.6864542042303294</v>
      </c>
      <c r="I26" s="471">
        <v>4.815</v>
      </c>
      <c r="J26" s="472">
        <v>0.9060704145868506</v>
      </c>
      <c r="K26" s="1000">
        <f>SUM(I26:J26)</f>
        <v>5.721070414586851</v>
      </c>
    </row>
    <row r="27" spans="2:11" ht="12.75">
      <c r="B27" s="998"/>
      <c r="C27" s="990"/>
      <c r="D27" s="994"/>
      <c r="E27" s="990" t="s">
        <v>276</v>
      </c>
      <c r="F27" s="999" t="s">
        <v>519</v>
      </c>
      <c r="G27" s="471">
        <v>3.4240000000000004</v>
      </c>
      <c r="H27" s="472">
        <v>0.6864542042303294</v>
      </c>
      <c r="I27" s="471">
        <v>4.815</v>
      </c>
      <c r="J27" s="472">
        <v>0.9060704145868506</v>
      </c>
      <c r="K27" s="1000">
        <f>SUM(I27:J27)</f>
        <v>5.721070414586851</v>
      </c>
    </row>
    <row r="28" spans="2:11" ht="12.75">
      <c r="B28" s="998"/>
      <c r="C28" s="990"/>
      <c r="D28" s="994"/>
      <c r="E28" s="990" t="s">
        <v>277</v>
      </c>
      <c r="F28" s="999" t="s">
        <v>519</v>
      </c>
      <c r="G28" s="471">
        <v>3.1029999999999998</v>
      </c>
      <c r="H28" s="472">
        <v>0.622099122583736</v>
      </c>
      <c r="I28" s="471">
        <v>4.066</v>
      </c>
      <c r="J28" s="472">
        <v>0.7651261278733404</v>
      </c>
      <c r="K28" s="1000">
        <f>SUM(I28:J28)</f>
        <v>4.831126127873341</v>
      </c>
    </row>
    <row r="29" spans="2:10" ht="12.75">
      <c r="B29" s="998"/>
      <c r="C29" s="990"/>
      <c r="D29" s="994"/>
      <c r="E29" s="990" t="s">
        <v>544</v>
      </c>
      <c r="F29" s="999" t="s">
        <v>519</v>
      </c>
      <c r="G29" s="1003"/>
      <c r="H29" s="1004"/>
      <c r="I29" s="1003"/>
      <c r="J29" s="1004"/>
    </row>
    <row r="30" spans="2:10" ht="12.75">
      <c r="B30" s="998"/>
      <c r="C30" s="990"/>
      <c r="D30" s="994"/>
      <c r="E30" s="990" t="s">
        <v>545</v>
      </c>
      <c r="F30" s="999" t="s">
        <v>519</v>
      </c>
      <c r="G30" s="1003"/>
      <c r="H30" s="1004"/>
      <c r="I30" s="1003"/>
      <c r="J30" s="1004"/>
    </row>
    <row r="31" spans="2:10" ht="13.5" thickBot="1">
      <c r="B31" s="983"/>
      <c r="C31" s="984"/>
      <c r="D31" s="984"/>
      <c r="E31" s="984"/>
      <c r="F31" s="473"/>
      <c r="G31" s="1005"/>
      <c r="H31" s="1006"/>
      <c r="I31" s="1005"/>
      <c r="J31" s="1006"/>
    </row>
    <row r="32" spans="2:10" ht="12.75">
      <c r="B32" s="1007"/>
      <c r="C32" s="1008" t="s">
        <v>546</v>
      </c>
      <c r="D32" s="1008"/>
      <c r="E32" s="1009"/>
      <c r="F32" s="1010"/>
      <c r="G32" s="1001"/>
      <c r="H32" s="1002"/>
      <c r="I32" s="1001"/>
      <c r="J32" s="1002"/>
    </row>
    <row r="33" spans="2:10" ht="12.75">
      <c r="B33" s="998"/>
      <c r="C33" s="990"/>
      <c r="D33" s="994" t="s">
        <v>883</v>
      </c>
      <c r="E33" s="990"/>
      <c r="F33" s="1010"/>
      <c r="G33" s="1001"/>
      <c r="H33" s="1002"/>
      <c r="I33" s="1001"/>
      <c r="J33" s="1002"/>
    </row>
    <row r="34" spans="2:11" ht="12.75">
      <c r="B34" s="998"/>
      <c r="C34" s="990"/>
      <c r="D34" s="994"/>
      <c r="E34" s="990" t="s">
        <v>684</v>
      </c>
      <c r="F34" s="999" t="s">
        <v>844</v>
      </c>
      <c r="G34" s="471">
        <v>30.387999999999998</v>
      </c>
      <c r="H34" s="472">
        <v>6.092281062544173</v>
      </c>
      <c r="I34" s="471">
        <v>36.272999999999996</v>
      </c>
      <c r="J34" s="472">
        <v>6.8257304565542745</v>
      </c>
      <c r="K34" s="1000">
        <f>SUM(I34:J34)</f>
        <v>43.09873045655427</v>
      </c>
    </row>
    <row r="35" spans="2:11" ht="12.75">
      <c r="B35" s="998"/>
      <c r="C35" s="990"/>
      <c r="D35" s="994"/>
      <c r="E35" s="990" t="s">
        <v>685</v>
      </c>
      <c r="F35" s="999" t="s">
        <v>844</v>
      </c>
      <c r="G35" s="471">
        <v>30.387999999999998</v>
      </c>
      <c r="H35" s="472">
        <v>6.092281062544173</v>
      </c>
      <c r="I35" s="471">
        <v>36.272999999999996</v>
      </c>
      <c r="J35" s="472">
        <v>6.8257304565542745</v>
      </c>
      <c r="K35" s="1000">
        <f>SUM(I35:J35)</f>
        <v>43.09873045655427</v>
      </c>
    </row>
    <row r="36" spans="2:11" ht="12.75">
      <c r="B36" s="998"/>
      <c r="C36" s="990"/>
      <c r="D36" s="990"/>
      <c r="E36" s="990" t="s">
        <v>686</v>
      </c>
      <c r="F36" s="999" t="s">
        <v>844</v>
      </c>
      <c r="G36" s="471">
        <v>0</v>
      </c>
      <c r="H36" s="472">
        <v>0</v>
      </c>
      <c r="I36" s="471">
        <v>0</v>
      </c>
      <c r="J36" s="472">
        <v>0</v>
      </c>
      <c r="K36" s="1000">
        <f>SUM(I36:J36)</f>
        <v>0</v>
      </c>
    </row>
    <row r="37" spans="2:11" ht="12.75">
      <c r="B37" s="998"/>
      <c r="C37" s="990"/>
      <c r="D37" s="990"/>
      <c r="E37" s="990" t="s">
        <v>269</v>
      </c>
      <c r="F37" s="999" t="s">
        <v>844</v>
      </c>
      <c r="G37" s="471">
        <v>0</v>
      </c>
      <c r="H37" s="472">
        <v>0</v>
      </c>
      <c r="I37" s="471">
        <v>0</v>
      </c>
      <c r="J37" s="472">
        <v>0</v>
      </c>
      <c r="K37" s="1000">
        <f>SUM(I37:J37)</f>
        <v>0</v>
      </c>
    </row>
    <row r="38" spans="2:10" ht="12.75">
      <c r="B38" s="998"/>
      <c r="C38" s="990"/>
      <c r="D38" s="990"/>
      <c r="E38" s="990"/>
      <c r="F38" s="999"/>
      <c r="G38" s="1001"/>
      <c r="H38" s="1002"/>
      <c r="I38" s="1001"/>
      <c r="J38" s="1002"/>
    </row>
    <row r="39" spans="2:10" ht="12.75">
      <c r="B39" s="998"/>
      <c r="C39" s="990"/>
      <c r="D39" s="994" t="s">
        <v>520</v>
      </c>
      <c r="E39" s="990"/>
      <c r="F39" s="999"/>
      <c r="G39" s="1001"/>
      <c r="H39" s="1002"/>
      <c r="I39" s="1001"/>
      <c r="J39" s="1002"/>
    </row>
    <row r="40" spans="2:11" ht="12.75">
      <c r="B40" s="998"/>
      <c r="C40" s="990"/>
      <c r="D40" s="1009"/>
      <c r="E40" s="990" t="s">
        <v>417</v>
      </c>
      <c r="F40" s="999" t="s">
        <v>519</v>
      </c>
      <c r="G40" s="471">
        <v>0</v>
      </c>
      <c r="H40" s="472">
        <v>0</v>
      </c>
      <c r="I40" s="471">
        <v>0</v>
      </c>
      <c r="J40" s="472">
        <v>0</v>
      </c>
      <c r="K40" s="1000">
        <f>SUM(I40:J40)</f>
        <v>0</v>
      </c>
    </row>
    <row r="41" spans="2:11" ht="12.75">
      <c r="B41" s="998"/>
      <c r="C41" s="990"/>
      <c r="D41" s="994"/>
      <c r="E41" s="990" t="s">
        <v>418</v>
      </c>
      <c r="F41" s="999" t="s">
        <v>519</v>
      </c>
      <c r="G41" s="471">
        <v>0</v>
      </c>
      <c r="H41" s="472">
        <v>0</v>
      </c>
      <c r="I41" s="471">
        <v>0</v>
      </c>
      <c r="J41" s="472">
        <v>0</v>
      </c>
      <c r="K41" s="1000">
        <f>SUM(I41:J41)</f>
        <v>0</v>
      </c>
    </row>
    <row r="42" spans="2:10" ht="12.75">
      <c r="B42" s="998"/>
      <c r="C42" s="990"/>
      <c r="D42" s="990"/>
      <c r="E42" s="990"/>
      <c r="F42" s="999"/>
      <c r="G42" s="1001"/>
      <c r="H42" s="1002"/>
      <c r="I42" s="1001"/>
      <c r="J42" s="1002"/>
    </row>
    <row r="43" spans="2:10" ht="12.75">
      <c r="B43" s="998"/>
      <c r="C43" s="990"/>
      <c r="D43" s="994" t="s">
        <v>419</v>
      </c>
      <c r="E43" s="990"/>
      <c r="F43" s="999"/>
      <c r="G43" s="1001"/>
      <c r="H43" s="1002"/>
      <c r="I43" s="1001"/>
      <c r="J43" s="1002"/>
    </row>
    <row r="44" spans="2:11" ht="12.75">
      <c r="B44" s="998"/>
      <c r="C44" s="990"/>
      <c r="D44" s="994"/>
      <c r="E44" s="990" t="s">
        <v>420</v>
      </c>
      <c r="F44" s="999" t="s">
        <v>844</v>
      </c>
      <c r="G44" s="471">
        <v>66.768</v>
      </c>
      <c r="H44" s="472">
        <v>13.385856982491424</v>
      </c>
      <c r="I44" s="471">
        <v>71.155</v>
      </c>
      <c r="J44" s="472">
        <v>13.38970723778346</v>
      </c>
      <c r="K44" s="1000">
        <f>SUM(I44:J44)</f>
        <v>84.54470723778346</v>
      </c>
    </row>
    <row r="45" spans="2:11" ht="12.75">
      <c r="B45" s="998"/>
      <c r="C45" s="990"/>
      <c r="D45" s="994"/>
      <c r="E45" s="990" t="s">
        <v>421</v>
      </c>
      <c r="F45" s="999" t="s">
        <v>844</v>
      </c>
      <c r="G45" s="471">
        <v>0</v>
      </c>
      <c r="H45" s="472">
        <v>0</v>
      </c>
      <c r="I45" s="471">
        <v>0</v>
      </c>
      <c r="J45" s="472">
        <v>0</v>
      </c>
      <c r="K45" s="1000">
        <f>SUM(I45:J45)</f>
        <v>0</v>
      </c>
    </row>
    <row r="46" spans="2:10" ht="12.75">
      <c r="B46" s="998"/>
      <c r="C46" s="990"/>
      <c r="D46" s="994"/>
      <c r="E46" s="990"/>
      <c r="F46" s="999"/>
      <c r="G46" s="1001"/>
      <c r="H46" s="1002"/>
      <c r="I46" s="1001"/>
      <c r="J46" s="1002"/>
    </row>
    <row r="47" spans="2:10" ht="12.75">
      <c r="B47" s="998"/>
      <c r="C47" s="990"/>
      <c r="D47" s="994" t="s">
        <v>583</v>
      </c>
      <c r="E47" s="990"/>
      <c r="F47" s="999"/>
      <c r="G47" s="1001"/>
      <c r="H47" s="1002"/>
      <c r="I47" s="1001"/>
      <c r="J47" s="1002"/>
    </row>
    <row r="48" spans="2:11" ht="12.75">
      <c r="B48" s="998"/>
      <c r="C48" s="990"/>
      <c r="D48" s="994"/>
      <c r="E48" s="990" t="s">
        <v>584</v>
      </c>
      <c r="F48" s="999" t="s">
        <v>844</v>
      </c>
      <c r="G48" s="471">
        <v>0</v>
      </c>
      <c r="H48" s="472">
        <v>0</v>
      </c>
      <c r="I48" s="471">
        <v>0</v>
      </c>
      <c r="J48" s="472">
        <v>0</v>
      </c>
      <c r="K48" s="1000">
        <f>SUM(I48:J48)</f>
        <v>0</v>
      </c>
    </row>
    <row r="49" spans="2:10" ht="12.75">
      <c r="B49" s="998"/>
      <c r="C49" s="990"/>
      <c r="D49" s="994"/>
      <c r="E49" s="990"/>
      <c r="F49" s="999"/>
      <c r="G49" s="1001"/>
      <c r="H49" s="1002"/>
      <c r="I49" s="1001"/>
      <c r="J49" s="1002"/>
    </row>
    <row r="50" spans="2:10" ht="12.75">
      <c r="B50" s="998"/>
      <c r="C50" s="990"/>
      <c r="D50" s="994" t="s">
        <v>391</v>
      </c>
      <c r="E50" s="990"/>
      <c r="F50" s="999"/>
      <c r="G50" s="1001"/>
      <c r="H50" s="1002"/>
      <c r="I50" s="1001"/>
      <c r="J50" s="1002"/>
    </row>
    <row r="51" spans="2:11" ht="12.75">
      <c r="B51" s="998"/>
      <c r="C51" s="990"/>
      <c r="D51" s="994"/>
      <c r="E51" s="990" t="s">
        <v>715</v>
      </c>
      <c r="F51" s="999" t="s">
        <v>519</v>
      </c>
      <c r="G51" s="471">
        <v>11.235</v>
      </c>
      <c r="H51" s="472">
        <v>2.2524278576307686</v>
      </c>
      <c r="I51" s="471">
        <v>11.77</v>
      </c>
      <c r="J51" s="472">
        <v>2.2148387912123013</v>
      </c>
      <c r="K51" s="1000">
        <f>SUM(I51:J51)</f>
        <v>13.984838791212301</v>
      </c>
    </row>
    <row r="52" spans="2:11" ht="12.75">
      <c r="B52" s="998"/>
      <c r="C52" s="990"/>
      <c r="D52" s="994"/>
      <c r="E52" s="990" t="s">
        <v>725</v>
      </c>
      <c r="F52" s="999" t="s">
        <v>519</v>
      </c>
      <c r="G52" s="471">
        <v>24.182000000000002</v>
      </c>
      <c r="H52" s="472">
        <v>4.848082817376701</v>
      </c>
      <c r="I52" s="471">
        <v>26.001</v>
      </c>
      <c r="J52" s="472">
        <v>4.892780238768993</v>
      </c>
      <c r="K52" s="1000">
        <f>SUM(I52:J52)</f>
        <v>30.893780238768993</v>
      </c>
    </row>
    <row r="53" spans="2:11" ht="12.75">
      <c r="B53" s="998"/>
      <c r="C53" s="990"/>
      <c r="D53" s="994"/>
      <c r="E53" s="990" t="s">
        <v>726</v>
      </c>
      <c r="F53" s="999" t="s">
        <v>519</v>
      </c>
      <c r="G53" s="471">
        <v>0.9630000000000001</v>
      </c>
      <c r="H53" s="472">
        <v>0.19306524493978017</v>
      </c>
      <c r="I53" s="471">
        <v>1.391</v>
      </c>
      <c r="J53" s="472">
        <v>0.2617536753250902</v>
      </c>
      <c r="K53" s="1000">
        <f>SUM(I53:J53)</f>
        <v>1.6527536753250902</v>
      </c>
    </row>
    <row r="54" spans="2:11" ht="12.75">
      <c r="B54" s="998"/>
      <c r="C54" s="990"/>
      <c r="D54" s="994"/>
      <c r="E54" s="990" t="s">
        <v>596</v>
      </c>
      <c r="F54" s="999" t="s">
        <v>519</v>
      </c>
      <c r="G54" s="471">
        <v>3.8520000000000003</v>
      </c>
      <c r="H54" s="472">
        <v>0.7722609797591207</v>
      </c>
      <c r="I54" s="471">
        <v>4.387</v>
      </c>
      <c r="J54" s="472">
        <v>0.8255308221791305</v>
      </c>
      <c r="K54" s="1000">
        <f>SUM(I54:J54)</f>
        <v>5.21253082217913</v>
      </c>
    </row>
    <row r="55" spans="2:11" ht="12.75">
      <c r="B55" s="998"/>
      <c r="C55" s="990"/>
      <c r="D55" s="994"/>
      <c r="E55" s="990" t="s">
        <v>576</v>
      </c>
      <c r="F55" s="999" t="s">
        <v>519</v>
      </c>
      <c r="G55" s="471">
        <v>12.947</v>
      </c>
      <c r="H55" s="472">
        <v>2.595654959745933</v>
      </c>
      <c r="I55" s="471">
        <v>13.803</v>
      </c>
      <c r="J55" s="472">
        <v>2.5974018551489717</v>
      </c>
      <c r="K55" s="1000">
        <f>SUM(I55:J55)</f>
        <v>16.40040185514897</v>
      </c>
    </row>
    <row r="56" spans="2:10" ht="12.75">
      <c r="B56" s="998"/>
      <c r="C56" s="990"/>
      <c r="D56" s="994"/>
      <c r="E56" s="990" t="s">
        <v>427</v>
      </c>
      <c r="F56" s="999" t="s">
        <v>519</v>
      </c>
      <c r="G56" s="1003"/>
      <c r="H56" s="1004"/>
      <c r="I56" s="1003"/>
      <c r="J56" s="1004"/>
    </row>
    <row r="57" spans="2:10" ht="12.75">
      <c r="B57" s="998"/>
      <c r="C57" s="990"/>
      <c r="D57" s="994"/>
      <c r="E57" s="990" t="s">
        <v>717</v>
      </c>
      <c r="F57" s="999" t="s">
        <v>519</v>
      </c>
      <c r="G57" s="1003"/>
      <c r="H57" s="1004"/>
      <c r="I57" s="1003"/>
      <c r="J57" s="1004"/>
    </row>
    <row r="58" spans="2:11" ht="12.75">
      <c r="B58" s="998"/>
      <c r="C58" s="990"/>
      <c r="D58" s="990"/>
      <c r="E58" s="990" t="s">
        <v>296</v>
      </c>
      <c r="F58" s="999" t="s">
        <v>519</v>
      </c>
      <c r="G58" s="471">
        <v>0</v>
      </c>
      <c r="H58" s="472">
        <v>0</v>
      </c>
      <c r="I58" s="471">
        <v>0</v>
      </c>
      <c r="J58" s="472">
        <v>0</v>
      </c>
      <c r="K58" s="1000">
        <f>SUM(I58:J58)</f>
        <v>0</v>
      </c>
    </row>
    <row r="59" spans="2:11" ht="12.75">
      <c r="B59" s="998"/>
      <c r="C59" s="990"/>
      <c r="D59" s="990"/>
      <c r="E59" s="990" t="s">
        <v>280</v>
      </c>
      <c r="F59" s="999" t="s">
        <v>519</v>
      </c>
      <c r="G59" s="471">
        <v>0</v>
      </c>
      <c r="H59" s="472">
        <v>0</v>
      </c>
      <c r="I59" s="471">
        <v>0</v>
      </c>
      <c r="J59" s="472">
        <v>0</v>
      </c>
      <c r="K59" s="1000">
        <f>SUM(I59:J59)</f>
        <v>0</v>
      </c>
    </row>
    <row r="60" spans="2:11" ht="12.75">
      <c r="B60" s="998"/>
      <c r="C60" s="990"/>
      <c r="D60" s="994"/>
      <c r="E60" s="990" t="s">
        <v>281</v>
      </c>
      <c r="F60" s="999" t="s">
        <v>519</v>
      </c>
      <c r="G60" s="471">
        <v>0</v>
      </c>
      <c r="H60" s="472">
        <v>0</v>
      </c>
      <c r="I60" s="471">
        <v>0</v>
      </c>
      <c r="J60" s="472">
        <v>0</v>
      </c>
      <c r="K60" s="1000">
        <f>SUM(I60:J60)</f>
        <v>0</v>
      </c>
    </row>
    <row r="61" spans="2:11" ht="12.75">
      <c r="B61" s="998"/>
      <c r="C61" s="990"/>
      <c r="D61" s="994"/>
      <c r="E61" s="990" t="s">
        <v>282</v>
      </c>
      <c r="F61" s="999" t="s">
        <v>519</v>
      </c>
      <c r="G61" s="471">
        <v>0</v>
      </c>
      <c r="H61" s="472">
        <v>0</v>
      </c>
      <c r="I61" s="471">
        <v>0</v>
      </c>
      <c r="J61" s="472">
        <v>0</v>
      </c>
      <c r="K61" s="1000">
        <f>SUM(I61:J61)</f>
        <v>0</v>
      </c>
    </row>
    <row r="62" spans="2:11" ht="12.75">
      <c r="B62" s="998"/>
      <c r="C62" s="990"/>
      <c r="D62" s="994"/>
      <c r="E62" s="990" t="s">
        <v>285</v>
      </c>
      <c r="F62" s="999" t="s">
        <v>519</v>
      </c>
      <c r="G62" s="471">
        <v>0</v>
      </c>
      <c r="H62" s="472">
        <v>0</v>
      </c>
      <c r="I62" s="471">
        <v>0</v>
      </c>
      <c r="J62" s="472">
        <v>0</v>
      </c>
      <c r="K62" s="1000">
        <f>SUM(I62:J62)</f>
        <v>0</v>
      </c>
    </row>
    <row r="63" spans="2:10" ht="12.75">
      <c r="B63" s="998"/>
      <c r="C63" s="990"/>
      <c r="D63" s="994"/>
      <c r="E63" s="990" t="s">
        <v>424</v>
      </c>
      <c r="F63" s="999" t="s">
        <v>519</v>
      </c>
      <c r="G63" s="1003"/>
      <c r="H63" s="1004"/>
      <c r="I63" s="1003"/>
      <c r="J63" s="1004"/>
    </row>
    <row r="64" spans="2:10" ht="12.75">
      <c r="B64" s="998"/>
      <c r="C64" s="990"/>
      <c r="D64" s="994"/>
      <c r="E64" s="990" t="s">
        <v>289</v>
      </c>
      <c r="F64" s="999" t="s">
        <v>519</v>
      </c>
      <c r="G64" s="1003"/>
      <c r="H64" s="1004"/>
      <c r="I64" s="1003"/>
      <c r="J64" s="1004"/>
    </row>
    <row r="65" spans="2:10" ht="12.75">
      <c r="B65" s="998"/>
      <c r="C65" s="990"/>
      <c r="D65" s="994"/>
      <c r="E65" s="990"/>
      <c r="F65" s="1010"/>
      <c r="G65" s="1001"/>
      <c r="H65" s="1002"/>
      <c r="I65" s="1001"/>
      <c r="J65" s="1002"/>
    </row>
    <row r="66" spans="2:10" ht="12.75">
      <c r="B66" s="998"/>
      <c r="C66" s="990"/>
      <c r="D66" s="994" t="s">
        <v>146</v>
      </c>
      <c r="E66" s="990"/>
      <c r="F66" s="1010"/>
      <c r="G66" s="1001"/>
      <c r="H66" s="1002"/>
      <c r="I66" s="1001"/>
      <c r="J66" s="1002"/>
    </row>
    <row r="67" spans="2:11" ht="12.75">
      <c r="B67" s="998"/>
      <c r="C67" s="990"/>
      <c r="D67" s="994"/>
      <c r="E67" s="990" t="s">
        <v>147</v>
      </c>
      <c r="F67" s="999" t="s">
        <v>519</v>
      </c>
      <c r="G67" s="471">
        <v>3.1029999999999998</v>
      </c>
      <c r="H67" s="472">
        <v>0.622099122583736</v>
      </c>
      <c r="I67" s="471">
        <v>3.1029999999999998</v>
      </c>
      <c r="J67" s="472">
        <v>0.5839120449559704</v>
      </c>
      <c r="K67" s="1000">
        <f>SUM(I67:J67)</f>
        <v>3.68691204495597</v>
      </c>
    </row>
    <row r="68" spans="2:11" ht="12.75">
      <c r="B68" s="998"/>
      <c r="C68" s="990"/>
      <c r="D68" s="994"/>
      <c r="E68" s="990" t="s">
        <v>148</v>
      </c>
      <c r="F68" s="999" t="s">
        <v>519</v>
      </c>
      <c r="G68" s="471">
        <v>9.309</v>
      </c>
      <c r="H68" s="472">
        <v>1.866297367751208</v>
      </c>
      <c r="I68" s="471">
        <v>10.058</v>
      </c>
      <c r="J68" s="472">
        <v>1.8926804215814212</v>
      </c>
      <c r="K68" s="1000">
        <f>SUM(I68:J68)</f>
        <v>11.95068042158142</v>
      </c>
    </row>
    <row r="69" spans="2:11" ht="12.75">
      <c r="B69" s="998"/>
      <c r="C69" s="990"/>
      <c r="D69" s="994"/>
      <c r="E69" s="990" t="s">
        <v>149</v>
      </c>
      <c r="F69" s="999" t="s">
        <v>519</v>
      </c>
      <c r="G69" s="471">
        <v>0</v>
      </c>
      <c r="H69" s="472">
        <v>0</v>
      </c>
      <c r="I69" s="471">
        <v>0</v>
      </c>
      <c r="J69" s="472">
        <v>0</v>
      </c>
      <c r="K69" s="1000">
        <f>SUM(I69:J69)</f>
        <v>0</v>
      </c>
    </row>
    <row r="70" spans="2:11" ht="12.75">
      <c r="B70" s="998"/>
      <c r="C70" s="990"/>
      <c r="D70" s="994"/>
      <c r="E70" s="990" t="s">
        <v>150</v>
      </c>
      <c r="F70" s="999" t="s">
        <v>519</v>
      </c>
      <c r="G70" s="471">
        <v>0</v>
      </c>
      <c r="H70" s="472">
        <v>0</v>
      </c>
      <c r="I70" s="471">
        <v>0</v>
      </c>
      <c r="J70" s="472">
        <v>0</v>
      </c>
      <c r="K70" s="1000">
        <f>SUM(I70:J70)</f>
        <v>0</v>
      </c>
    </row>
    <row r="71" spans="2:10" ht="13.5" thickBot="1">
      <c r="B71" s="983"/>
      <c r="C71" s="984"/>
      <c r="D71" s="984"/>
      <c r="E71" s="984"/>
      <c r="F71" s="473"/>
      <c r="G71" s="1005"/>
      <c r="H71" s="1006"/>
      <c r="I71" s="1005"/>
      <c r="J71" s="1006"/>
    </row>
    <row r="72" spans="2:10" ht="12.75">
      <c r="B72" s="1007"/>
      <c r="C72" s="1008" t="s">
        <v>301</v>
      </c>
      <c r="D72" s="1008"/>
      <c r="E72" s="1009"/>
      <c r="F72" s="1010"/>
      <c r="G72" s="1001"/>
      <c r="H72" s="1002"/>
      <c r="I72" s="1001"/>
      <c r="J72" s="1002"/>
    </row>
    <row r="73" spans="2:10" ht="12.75">
      <c r="B73" s="998"/>
      <c r="C73" s="990"/>
      <c r="D73" s="994" t="s">
        <v>883</v>
      </c>
      <c r="E73" s="990"/>
      <c r="F73" s="999"/>
      <c r="G73" s="1001"/>
      <c r="H73" s="1002"/>
      <c r="I73" s="1001"/>
      <c r="J73" s="1002"/>
    </row>
    <row r="74" spans="2:11" ht="12.75">
      <c r="B74" s="998"/>
      <c r="C74" s="990"/>
      <c r="D74" s="990"/>
      <c r="E74" s="990" t="s">
        <v>302</v>
      </c>
      <c r="F74" s="999" t="s">
        <v>844</v>
      </c>
      <c r="G74" s="471">
        <v>73.72300000000001</v>
      </c>
      <c r="H74" s="472">
        <v>14.78021708483428</v>
      </c>
      <c r="I74" s="471">
        <v>82.81800000000001</v>
      </c>
      <c r="J74" s="472">
        <v>15.58441113089383</v>
      </c>
      <c r="K74" s="1000">
        <f>SUM(I74:J74)</f>
        <v>98.40241113089384</v>
      </c>
    </row>
    <row r="75" spans="2:11" ht="12.75">
      <c r="B75" s="998"/>
      <c r="C75" s="990"/>
      <c r="D75" s="994"/>
      <c r="E75" s="990" t="s">
        <v>303</v>
      </c>
      <c r="F75" s="999" t="s">
        <v>844</v>
      </c>
      <c r="G75" s="471">
        <v>116.416</v>
      </c>
      <c r="H75" s="472">
        <v>23.3394429438312</v>
      </c>
      <c r="I75" s="471">
        <v>131.93099999999998</v>
      </c>
      <c r="J75" s="472">
        <v>24.826329359679708</v>
      </c>
      <c r="K75" s="1000">
        <f>SUM(I75:J75)</f>
        <v>156.7573293596797</v>
      </c>
    </row>
    <row r="76" spans="2:11" ht="12.75">
      <c r="B76" s="998"/>
      <c r="C76" s="990"/>
      <c r="D76" s="994"/>
      <c r="E76" s="990" t="s">
        <v>304</v>
      </c>
      <c r="F76" s="999" t="s">
        <v>844</v>
      </c>
      <c r="G76" s="471">
        <v>147.125</v>
      </c>
      <c r="H76" s="472">
        <v>29.49607908802197</v>
      </c>
      <c r="I76" s="471">
        <v>156.22</v>
      </c>
      <c r="J76" s="472">
        <v>29.39695122881782</v>
      </c>
      <c r="K76" s="1000">
        <f>SUM(I76:J76)</f>
        <v>185.6169512288178</v>
      </c>
    </row>
    <row r="77" spans="2:11" ht="12.75">
      <c r="B77" s="998"/>
      <c r="C77" s="990"/>
      <c r="D77" s="994"/>
      <c r="E77" s="990" t="s">
        <v>305</v>
      </c>
      <c r="F77" s="999" t="s">
        <v>844</v>
      </c>
      <c r="G77" s="471">
        <v>147.125</v>
      </c>
      <c r="H77" s="472">
        <v>29.49607908802197</v>
      </c>
      <c r="I77" s="471">
        <v>156.22</v>
      </c>
      <c r="J77" s="472">
        <v>29.39695122881782</v>
      </c>
      <c r="K77" s="1000">
        <f>SUM(I77:J77)</f>
        <v>185.6169512288178</v>
      </c>
    </row>
    <row r="78" spans="2:10" ht="12.75">
      <c r="B78" s="998"/>
      <c r="C78" s="990"/>
      <c r="D78" s="994"/>
      <c r="E78" s="990"/>
      <c r="F78" s="999"/>
      <c r="G78" s="1001"/>
      <c r="H78" s="1002"/>
      <c r="I78" s="1001"/>
      <c r="J78" s="1002"/>
    </row>
    <row r="79" spans="2:10" ht="12.75">
      <c r="B79" s="998"/>
      <c r="C79" s="990"/>
      <c r="D79" s="994" t="s">
        <v>520</v>
      </c>
      <c r="E79" s="990"/>
      <c r="F79" s="999"/>
      <c r="G79" s="1001"/>
      <c r="H79" s="1002"/>
      <c r="I79" s="1001"/>
      <c r="J79" s="1002"/>
    </row>
    <row r="80" spans="2:11" ht="12.75">
      <c r="B80" s="998"/>
      <c r="C80" s="990"/>
      <c r="D80" s="990"/>
      <c r="E80" s="990" t="s">
        <v>306</v>
      </c>
      <c r="F80" s="999" t="s">
        <v>519</v>
      </c>
      <c r="G80" s="471">
        <v>0</v>
      </c>
      <c r="H80" s="472">
        <v>0</v>
      </c>
      <c r="I80" s="471">
        <v>0</v>
      </c>
      <c r="J80" s="472">
        <v>0</v>
      </c>
      <c r="K80" s="1000">
        <f>SUM(I80:J80)</f>
        <v>0</v>
      </c>
    </row>
    <row r="81" spans="2:11" ht="12.75">
      <c r="B81" s="998"/>
      <c r="C81" s="990"/>
      <c r="D81" s="990"/>
      <c r="E81" s="990" t="s">
        <v>307</v>
      </c>
      <c r="F81" s="999" t="s">
        <v>519</v>
      </c>
      <c r="G81" s="471">
        <v>0</v>
      </c>
      <c r="H81" s="472">
        <v>0</v>
      </c>
      <c r="I81" s="471">
        <v>0</v>
      </c>
      <c r="J81" s="472">
        <v>0</v>
      </c>
      <c r="K81" s="1000">
        <f>SUM(I81:J81)</f>
        <v>0</v>
      </c>
    </row>
    <row r="82" spans="2:11" ht="12.75">
      <c r="B82" s="998"/>
      <c r="C82" s="990"/>
      <c r="D82" s="994"/>
      <c r="E82" s="990" t="s">
        <v>178</v>
      </c>
      <c r="F82" s="999" t="s">
        <v>519</v>
      </c>
      <c r="G82" s="471">
        <v>0</v>
      </c>
      <c r="H82" s="472">
        <v>0</v>
      </c>
      <c r="I82" s="471">
        <v>0</v>
      </c>
      <c r="J82" s="472">
        <v>0</v>
      </c>
      <c r="K82" s="1000">
        <f>SUM(I82:J82)</f>
        <v>0</v>
      </c>
    </row>
    <row r="83" spans="2:11" ht="12.75">
      <c r="B83" s="998"/>
      <c r="C83" s="990"/>
      <c r="D83" s="994"/>
      <c r="E83" s="990" t="s">
        <v>179</v>
      </c>
      <c r="F83" s="999" t="s">
        <v>519</v>
      </c>
      <c r="G83" s="471">
        <v>0</v>
      </c>
      <c r="H83" s="472">
        <v>0</v>
      </c>
      <c r="I83" s="471">
        <v>0</v>
      </c>
      <c r="J83" s="472">
        <v>0</v>
      </c>
      <c r="K83" s="1000">
        <f>SUM(I83:J83)</f>
        <v>0</v>
      </c>
    </row>
    <row r="84" spans="2:10" ht="12.75">
      <c r="B84" s="998"/>
      <c r="C84" s="990"/>
      <c r="D84" s="990"/>
      <c r="E84" s="990"/>
      <c r="F84" s="999"/>
      <c r="G84" s="1001"/>
      <c r="H84" s="1002"/>
      <c r="I84" s="1001"/>
      <c r="J84" s="1002"/>
    </row>
    <row r="85" spans="2:10" ht="12.75">
      <c r="B85" s="988"/>
      <c r="C85" s="990"/>
      <c r="D85" s="994" t="s">
        <v>419</v>
      </c>
      <c r="E85" s="990"/>
      <c r="F85" s="999"/>
      <c r="G85" s="1001"/>
      <c r="H85" s="1002"/>
      <c r="I85" s="1001"/>
      <c r="J85" s="1002"/>
    </row>
    <row r="86" spans="2:11" ht="12.75">
      <c r="B86" s="988"/>
      <c r="C86" s="990"/>
      <c r="D86" s="994"/>
      <c r="E86" s="990" t="s">
        <v>162</v>
      </c>
      <c r="F86" s="999" t="s">
        <v>844</v>
      </c>
      <c r="G86" s="471">
        <v>210.57600000000002</v>
      </c>
      <c r="H86" s="472">
        <v>42.21693356016526</v>
      </c>
      <c r="I86" s="471">
        <v>216.35399999999998</v>
      </c>
      <c r="J86" s="472">
        <v>40.712763962102485</v>
      </c>
      <c r="K86" s="1000">
        <f aca="true" t="shared" si="0" ref="K86:K91">SUM(I86:J86)</f>
        <v>257.06676396210247</v>
      </c>
    </row>
    <row r="87" spans="2:11" ht="12.75">
      <c r="B87" s="988"/>
      <c r="C87" s="990"/>
      <c r="D87" s="994"/>
      <c r="E87" s="990" t="s">
        <v>163</v>
      </c>
      <c r="F87" s="999" t="s">
        <v>844</v>
      </c>
      <c r="G87" s="471">
        <v>210.57600000000002</v>
      </c>
      <c r="H87" s="472">
        <v>42.21693356016526</v>
      </c>
      <c r="I87" s="471">
        <v>216.35399999999998</v>
      </c>
      <c r="J87" s="472">
        <v>40.712763962102485</v>
      </c>
      <c r="K87" s="1000">
        <f t="shared" si="0"/>
        <v>257.06676396210247</v>
      </c>
    </row>
    <row r="88" spans="2:11" ht="12.75">
      <c r="B88" s="988"/>
      <c r="C88" s="990"/>
      <c r="D88" s="994"/>
      <c r="E88" s="990" t="s">
        <v>164</v>
      </c>
      <c r="F88" s="999" t="s">
        <v>844</v>
      </c>
      <c r="G88" s="471">
        <v>0</v>
      </c>
      <c r="H88" s="472">
        <v>0</v>
      </c>
      <c r="I88" s="471">
        <v>0</v>
      </c>
      <c r="J88" s="472">
        <v>0</v>
      </c>
      <c r="K88" s="1000">
        <f t="shared" si="0"/>
        <v>0</v>
      </c>
    </row>
    <row r="89" spans="2:11" ht="12.75">
      <c r="B89" s="988"/>
      <c r="C89" s="990"/>
      <c r="D89" s="994"/>
      <c r="E89" s="990" t="s">
        <v>314</v>
      </c>
      <c r="F89" s="999" t="s">
        <v>844</v>
      </c>
      <c r="G89" s="471">
        <v>1003.874</v>
      </c>
      <c r="H89" s="472">
        <v>201.25979200277973</v>
      </c>
      <c r="I89" s="471">
        <v>1015.43</v>
      </c>
      <c r="J89" s="472">
        <v>191.08018298731585</v>
      </c>
      <c r="K89" s="1000">
        <f t="shared" si="0"/>
        <v>1206.5101829873158</v>
      </c>
    </row>
    <row r="90" spans="2:11" ht="12.75">
      <c r="B90" s="988"/>
      <c r="C90" s="990"/>
      <c r="D90" s="994"/>
      <c r="E90" s="990" t="s">
        <v>185</v>
      </c>
      <c r="F90" s="999" t="s">
        <v>844</v>
      </c>
      <c r="G90" s="471">
        <v>1003.874</v>
      </c>
      <c r="H90" s="472">
        <v>201.25979200277973</v>
      </c>
      <c r="I90" s="471">
        <v>1015.43</v>
      </c>
      <c r="J90" s="472">
        <v>191.08018298731585</v>
      </c>
      <c r="K90" s="1000">
        <f t="shared" si="0"/>
        <v>1206.5101829873158</v>
      </c>
    </row>
    <row r="91" spans="2:11" ht="12.75">
      <c r="B91" s="988"/>
      <c r="C91" s="990"/>
      <c r="D91" s="994"/>
      <c r="E91" s="990" t="s">
        <v>186</v>
      </c>
      <c r="F91" s="999" t="s">
        <v>844</v>
      </c>
      <c r="G91" s="471">
        <v>0</v>
      </c>
      <c r="H91" s="472">
        <v>0</v>
      </c>
      <c r="I91" s="471">
        <v>0</v>
      </c>
      <c r="J91" s="472">
        <v>0</v>
      </c>
      <c r="K91" s="1000">
        <f t="shared" si="0"/>
        <v>0</v>
      </c>
    </row>
    <row r="92" spans="2:10" ht="12.75">
      <c r="B92" s="988"/>
      <c r="C92" s="990"/>
      <c r="D92" s="990"/>
      <c r="E92" s="990"/>
      <c r="F92" s="999"/>
      <c r="G92" s="1001"/>
      <c r="H92" s="1002"/>
      <c r="I92" s="1001"/>
      <c r="J92" s="1002"/>
    </row>
    <row r="93" spans="2:10" ht="12.75">
      <c r="B93" s="988"/>
      <c r="C93" s="990"/>
      <c r="D93" s="994" t="s">
        <v>583</v>
      </c>
      <c r="E93" s="990"/>
      <c r="F93" s="999"/>
      <c r="G93" s="1001"/>
      <c r="H93" s="1002"/>
      <c r="I93" s="1001"/>
      <c r="J93" s="1002"/>
    </row>
    <row r="94" spans="2:11" ht="12.75">
      <c r="B94" s="988"/>
      <c r="C94" s="990"/>
      <c r="D94" s="990"/>
      <c r="E94" s="990" t="s">
        <v>112</v>
      </c>
      <c r="F94" s="999" t="s">
        <v>844</v>
      </c>
      <c r="G94" s="471">
        <v>0</v>
      </c>
      <c r="H94" s="472">
        <v>0</v>
      </c>
      <c r="I94" s="471">
        <v>0</v>
      </c>
      <c r="J94" s="472">
        <v>0</v>
      </c>
      <c r="K94" s="1000">
        <f>SUM(I94:J94)</f>
        <v>0</v>
      </c>
    </row>
    <row r="95" spans="2:10" ht="12.75">
      <c r="B95" s="988"/>
      <c r="C95" s="990"/>
      <c r="D95" s="994"/>
      <c r="E95" s="990"/>
      <c r="F95" s="999"/>
      <c r="G95" s="1001"/>
      <c r="H95" s="1002"/>
      <c r="I95" s="1001"/>
      <c r="J95" s="1002"/>
    </row>
    <row r="96" spans="2:10" ht="12.75">
      <c r="B96" s="988"/>
      <c r="C96" s="990"/>
      <c r="D96" s="994" t="s">
        <v>391</v>
      </c>
      <c r="E96" s="990"/>
      <c r="F96" s="999"/>
      <c r="G96" s="1001"/>
      <c r="H96" s="1002"/>
      <c r="I96" s="1001"/>
      <c r="J96" s="1002"/>
    </row>
    <row r="97" spans="2:11" ht="12.75">
      <c r="B97" s="988"/>
      <c r="C97" s="990"/>
      <c r="D97" s="994"/>
      <c r="E97" s="1009" t="s">
        <v>113</v>
      </c>
      <c r="F97" s="999" t="s">
        <v>519</v>
      </c>
      <c r="G97" s="471">
        <v>152.79600000000002</v>
      </c>
      <c r="H97" s="472">
        <v>30.633018863778453</v>
      </c>
      <c r="I97" s="471">
        <v>155.685</v>
      </c>
      <c r="J97" s="472">
        <v>29.29627673830817</v>
      </c>
      <c r="K97" s="1000">
        <f>SUM(I97:J97)</f>
        <v>184.98127673830817</v>
      </c>
    </row>
    <row r="98" spans="2:11" ht="12.75">
      <c r="B98" s="988"/>
      <c r="C98" s="990"/>
      <c r="D98" s="994"/>
      <c r="E98" s="1009" t="s">
        <v>114</v>
      </c>
      <c r="F98" s="999" t="s">
        <v>519</v>
      </c>
      <c r="G98" s="471">
        <v>152.79600000000002</v>
      </c>
      <c r="H98" s="472">
        <v>30.633018863778453</v>
      </c>
      <c r="I98" s="471">
        <v>155.685</v>
      </c>
      <c r="J98" s="472">
        <v>29.29627673830817</v>
      </c>
      <c r="K98" s="1000">
        <f>SUM(I98:J98)</f>
        <v>184.98127673830817</v>
      </c>
    </row>
    <row r="99" spans="2:11" ht="12.75">
      <c r="B99" s="988"/>
      <c r="C99" s="990"/>
      <c r="D99" s="994"/>
      <c r="E99" s="1009" t="s">
        <v>115</v>
      </c>
      <c r="F99" s="999" t="s">
        <v>519</v>
      </c>
      <c r="G99" s="471">
        <v>0</v>
      </c>
      <c r="H99" s="472">
        <v>0</v>
      </c>
      <c r="I99" s="471">
        <v>0</v>
      </c>
      <c r="J99" s="472">
        <v>0</v>
      </c>
      <c r="K99" s="1000">
        <f>SUM(I99:J99)</f>
        <v>0</v>
      </c>
    </row>
    <row r="100" spans="2:11" ht="12.75">
      <c r="B100" s="988"/>
      <c r="C100" s="990"/>
      <c r="D100" s="994"/>
      <c r="E100" s="1009" t="s">
        <v>116</v>
      </c>
      <c r="F100" s="999" t="s">
        <v>519</v>
      </c>
      <c r="G100" s="471">
        <v>0</v>
      </c>
      <c r="H100" s="472">
        <v>0</v>
      </c>
      <c r="I100" s="471">
        <v>0</v>
      </c>
      <c r="J100" s="472">
        <v>0</v>
      </c>
      <c r="K100" s="1000">
        <f>SUM(I100:J100)</f>
        <v>0</v>
      </c>
    </row>
    <row r="101" spans="2:11" ht="12.75">
      <c r="B101" s="988"/>
      <c r="C101" s="990"/>
      <c r="D101" s="994"/>
      <c r="E101" s="1009" t="s">
        <v>117</v>
      </c>
      <c r="F101" s="999" t="s">
        <v>519</v>
      </c>
      <c r="G101" s="471">
        <v>488.776</v>
      </c>
      <c r="H101" s="472">
        <v>97.99133765387954</v>
      </c>
      <c r="I101" s="471">
        <v>495.303</v>
      </c>
      <c r="J101" s="472">
        <v>93.20444331383402</v>
      </c>
      <c r="K101" s="1000">
        <f>SUM(I101:J101)</f>
        <v>588.5074433138341</v>
      </c>
    </row>
    <row r="102" spans="2:10" ht="12.75">
      <c r="B102" s="988"/>
      <c r="C102" s="990"/>
      <c r="D102" s="994"/>
      <c r="E102" s="1009" t="s">
        <v>118</v>
      </c>
      <c r="F102" s="999" t="s">
        <v>519</v>
      </c>
      <c r="G102" s="1003"/>
      <c r="H102" s="1004"/>
      <c r="I102" s="1003"/>
      <c r="J102" s="1004"/>
    </row>
    <row r="103" spans="2:11" ht="12.75">
      <c r="B103" s="988"/>
      <c r="C103" s="990"/>
      <c r="D103" s="994"/>
      <c r="E103" s="1009" t="s">
        <v>119</v>
      </c>
      <c r="F103" s="999" t="s">
        <v>519</v>
      </c>
      <c r="G103" s="471">
        <v>575.981</v>
      </c>
      <c r="H103" s="472">
        <v>115.47446816787071</v>
      </c>
      <c r="I103" s="471">
        <v>587.323</v>
      </c>
      <c r="J103" s="472">
        <v>110.52045568149384</v>
      </c>
      <c r="K103" s="1000">
        <f>SUM(I103:J103)</f>
        <v>697.8434556814939</v>
      </c>
    </row>
    <row r="104" spans="2:10" ht="12.75">
      <c r="B104" s="988"/>
      <c r="C104" s="990"/>
      <c r="D104" s="994"/>
      <c r="E104" s="1009" t="s">
        <v>120</v>
      </c>
      <c r="F104" s="999" t="s">
        <v>519</v>
      </c>
      <c r="G104" s="1003"/>
      <c r="H104" s="1004"/>
      <c r="I104" s="1003"/>
      <c r="J104" s="1004"/>
    </row>
    <row r="105" spans="2:10" ht="12.75">
      <c r="B105" s="988"/>
      <c r="C105" s="990"/>
      <c r="D105" s="994"/>
      <c r="E105" s="990"/>
      <c r="F105" s="999"/>
      <c r="G105" s="1001"/>
      <c r="H105" s="1002"/>
      <c r="I105" s="1001"/>
      <c r="J105" s="1002"/>
    </row>
    <row r="106" spans="2:10" ht="12.75">
      <c r="B106" s="988"/>
      <c r="C106" s="990"/>
      <c r="D106" s="994" t="s">
        <v>146</v>
      </c>
      <c r="E106" s="990"/>
      <c r="F106" s="999"/>
      <c r="G106" s="1001"/>
      <c r="H106" s="1002"/>
      <c r="I106" s="1001"/>
      <c r="J106" s="1002"/>
    </row>
    <row r="107" spans="2:11" ht="12.75">
      <c r="B107" s="988"/>
      <c r="C107" s="990"/>
      <c r="D107" s="990"/>
      <c r="E107" s="1009" t="s">
        <v>121</v>
      </c>
      <c r="F107" s="999" t="s">
        <v>519</v>
      </c>
      <c r="G107" s="471">
        <v>433.45700000000005</v>
      </c>
      <c r="H107" s="472">
        <v>86.90081191678327</v>
      </c>
      <c r="I107" s="471">
        <v>448.22299999999996</v>
      </c>
      <c r="J107" s="472">
        <v>84.34508814898483</v>
      </c>
      <c r="K107" s="1000">
        <f>SUM(I107:J107)</f>
        <v>532.5680881489848</v>
      </c>
    </row>
    <row r="108" spans="2:11" ht="12.75">
      <c r="B108" s="988"/>
      <c r="C108" s="990"/>
      <c r="D108" s="990"/>
      <c r="E108" s="1009" t="s">
        <v>122</v>
      </c>
      <c r="F108" s="999" t="s">
        <v>519</v>
      </c>
      <c r="G108" s="471">
        <v>446.404</v>
      </c>
      <c r="H108" s="472">
        <v>89.4964668765292</v>
      </c>
      <c r="I108" s="471">
        <v>481.393</v>
      </c>
      <c r="J108" s="472">
        <v>90.58690656058312</v>
      </c>
      <c r="K108" s="1000">
        <f>SUM(I108:J108)</f>
        <v>571.9799065605831</v>
      </c>
    </row>
    <row r="109" spans="2:11" ht="12.75">
      <c r="B109" s="988"/>
      <c r="C109" s="990"/>
      <c r="D109" s="990"/>
      <c r="E109" s="990" t="s">
        <v>79</v>
      </c>
      <c r="F109" s="999" t="s">
        <v>519</v>
      </c>
      <c r="G109" s="1003"/>
      <c r="H109" s="1004"/>
      <c r="I109" s="1003"/>
      <c r="J109" s="1004"/>
      <c r="K109" s="1000"/>
    </row>
    <row r="110" spans="2:11" ht="12.75">
      <c r="B110" s="988"/>
      <c r="C110" s="990"/>
      <c r="D110" s="990"/>
      <c r="E110" s="1009" t="s">
        <v>203</v>
      </c>
      <c r="F110" s="999" t="s">
        <v>519</v>
      </c>
      <c r="G110" s="471">
        <v>1778.554</v>
      </c>
      <c r="H110" s="472">
        <v>356.5700557098918</v>
      </c>
      <c r="I110" s="471">
        <v>1880.9530000000002</v>
      </c>
      <c r="J110" s="472">
        <v>353.95137373382767</v>
      </c>
      <c r="K110" s="1000">
        <f>SUM(I110:J110)</f>
        <v>2234.904373733828</v>
      </c>
    </row>
    <row r="111" spans="2:10" ht="12.75">
      <c r="B111" s="988"/>
      <c r="C111" s="990"/>
      <c r="D111" s="994"/>
      <c r="E111" s="990" t="s">
        <v>338</v>
      </c>
      <c r="F111" s="999" t="s">
        <v>519</v>
      </c>
      <c r="G111" s="1003"/>
      <c r="H111" s="1004"/>
      <c r="I111" s="1003"/>
      <c r="J111" s="1004"/>
    </row>
    <row r="112" spans="2:10" ht="13.5" thickBot="1">
      <c r="B112" s="983"/>
      <c r="C112" s="984"/>
      <c r="D112" s="984"/>
      <c r="E112" s="984"/>
      <c r="F112" s="473"/>
      <c r="G112" s="1011"/>
      <c r="H112" s="1012"/>
      <c r="I112" s="1011"/>
      <c r="J112" s="1012"/>
    </row>
    <row r="113" spans="2:10" ht="12.75">
      <c r="B113" s="1007"/>
      <c r="C113" s="1008" t="s">
        <v>339</v>
      </c>
      <c r="D113" s="1008"/>
      <c r="E113" s="1009"/>
      <c r="F113" s="1010"/>
      <c r="G113" s="1001"/>
      <c r="H113" s="1002"/>
      <c r="I113" s="1001"/>
      <c r="J113" s="1002"/>
    </row>
    <row r="114" spans="2:10" ht="12.75">
      <c r="B114" s="988"/>
      <c r="C114" s="990"/>
      <c r="D114" s="994" t="s">
        <v>883</v>
      </c>
      <c r="E114" s="990"/>
      <c r="F114" s="999"/>
      <c r="G114" s="1001"/>
      <c r="H114" s="1002"/>
      <c r="I114" s="1001"/>
      <c r="J114" s="1002"/>
    </row>
    <row r="115" spans="2:11" ht="12.75">
      <c r="B115" s="988"/>
      <c r="C115" s="990"/>
      <c r="D115" s="994"/>
      <c r="E115" s="990" t="s">
        <v>340</v>
      </c>
      <c r="F115" s="999" t="s">
        <v>844</v>
      </c>
      <c r="G115" s="471">
        <v>549.552</v>
      </c>
      <c r="H115" s="472">
        <v>110.17589977896789</v>
      </c>
      <c r="I115" s="471">
        <v>601.661</v>
      </c>
      <c r="J115" s="472">
        <v>113.21853202715245</v>
      </c>
      <c r="K115" s="1000">
        <f>SUM(I115:J115)</f>
        <v>714.8795320271524</v>
      </c>
    </row>
    <row r="116" spans="2:11" ht="12.75">
      <c r="B116" s="988"/>
      <c r="C116" s="990"/>
      <c r="D116" s="994"/>
      <c r="E116" s="990" t="s">
        <v>341</v>
      </c>
      <c r="F116" s="999" t="s">
        <v>844</v>
      </c>
      <c r="G116" s="471">
        <v>929.83</v>
      </c>
      <c r="H116" s="472">
        <v>186.41521983629883</v>
      </c>
      <c r="I116" s="471">
        <v>1033.941</v>
      </c>
      <c r="J116" s="472">
        <v>194.56352035894972</v>
      </c>
      <c r="K116" s="1000">
        <f>SUM(I116:J116)</f>
        <v>1228.5045203589498</v>
      </c>
    </row>
    <row r="117" spans="2:10" ht="12.75">
      <c r="B117" s="988"/>
      <c r="C117" s="990"/>
      <c r="D117" s="994"/>
      <c r="E117" s="1009"/>
      <c r="F117" s="999"/>
      <c r="G117" s="1001"/>
      <c r="H117" s="1002"/>
      <c r="I117" s="1001"/>
      <c r="J117" s="1002"/>
    </row>
    <row r="118" spans="2:10" ht="12.75">
      <c r="B118" s="988"/>
      <c r="C118" s="990"/>
      <c r="D118" s="994" t="s">
        <v>520</v>
      </c>
      <c r="E118" s="990"/>
      <c r="F118" s="1010"/>
      <c r="G118" s="1001"/>
      <c r="H118" s="1002"/>
      <c r="I118" s="1001"/>
      <c r="J118" s="1002"/>
    </row>
    <row r="119" spans="2:11" ht="12.75">
      <c r="B119" s="988"/>
      <c r="C119" s="990"/>
      <c r="D119" s="994"/>
      <c r="E119" s="990" t="s">
        <v>342</v>
      </c>
      <c r="F119" s="999" t="s">
        <v>519</v>
      </c>
      <c r="G119" s="471">
        <v>0</v>
      </c>
      <c r="H119" s="472">
        <v>0</v>
      </c>
      <c r="I119" s="471">
        <v>0</v>
      </c>
      <c r="J119" s="472">
        <v>0</v>
      </c>
      <c r="K119" s="1000">
        <f>SUM(I119:J119)</f>
        <v>0</v>
      </c>
    </row>
    <row r="120" spans="2:11" ht="12.75">
      <c r="B120" s="988"/>
      <c r="C120" s="990"/>
      <c r="D120" s="994"/>
      <c r="E120" s="990" t="s">
        <v>343</v>
      </c>
      <c r="F120" s="999" t="s">
        <v>519</v>
      </c>
      <c r="G120" s="471">
        <v>0</v>
      </c>
      <c r="H120" s="472">
        <v>0</v>
      </c>
      <c r="I120" s="471">
        <v>0</v>
      </c>
      <c r="J120" s="472">
        <v>0</v>
      </c>
      <c r="K120" s="1000">
        <f>SUM(I120:J120)</f>
        <v>0</v>
      </c>
    </row>
    <row r="121" spans="2:11" ht="12.75">
      <c r="B121" s="988"/>
      <c r="C121" s="990"/>
      <c r="D121" s="994"/>
      <c r="E121" s="1009" t="s">
        <v>197</v>
      </c>
      <c r="F121" s="999" t="s">
        <v>519</v>
      </c>
      <c r="G121" s="471">
        <v>0</v>
      </c>
      <c r="H121" s="472">
        <v>0</v>
      </c>
      <c r="I121" s="471">
        <v>0</v>
      </c>
      <c r="J121" s="472">
        <v>0</v>
      </c>
      <c r="K121" s="1000">
        <f>SUM(I121:J121)</f>
        <v>0</v>
      </c>
    </row>
    <row r="122" spans="2:10" ht="12.75">
      <c r="B122" s="988"/>
      <c r="C122" s="990"/>
      <c r="D122" s="990"/>
      <c r="E122" s="990"/>
      <c r="F122" s="999"/>
      <c r="G122" s="1001"/>
      <c r="H122" s="1002"/>
      <c r="I122" s="1001"/>
      <c r="J122" s="1002"/>
    </row>
    <row r="123" spans="2:10" ht="12.75">
      <c r="B123" s="988"/>
      <c r="C123" s="990"/>
      <c r="D123" s="994" t="s">
        <v>419</v>
      </c>
      <c r="E123" s="990"/>
      <c r="F123" s="1010"/>
      <c r="G123" s="1001"/>
      <c r="H123" s="1002"/>
      <c r="I123" s="1001"/>
      <c r="J123" s="1002"/>
    </row>
    <row r="124" spans="2:11" ht="12.75">
      <c r="B124" s="988"/>
      <c r="C124" s="990"/>
      <c r="D124" s="990"/>
      <c r="E124" s="990" t="s">
        <v>353</v>
      </c>
      <c r="F124" s="999" t="s">
        <v>844</v>
      </c>
      <c r="G124" s="471">
        <v>1031.587</v>
      </c>
      <c r="H124" s="472">
        <v>206.81578071826897</v>
      </c>
      <c r="I124" s="471">
        <v>1043.25</v>
      </c>
      <c r="J124" s="472">
        <v>196.31525649381763</v>
      </c>
      <c r="K124" s="1000">
        <f>SUM(I124:J124)</f>
        <v>1239.5652564938177</v>
      </c>
    </row>
    <row r="125" spans="2:11" ht="12.75">
      <c r="B125" s="988"/>
      <c r="C125" s="990"/>
      <c r="D125" s="990"/>
      <c r="E125" s="990" t="s">
        <v>352</v>
      </c>
      <c r="F125" s="999" t="s">
        <v>844</v>
      </c>
      <c r="G125" s="471">
        <v>1031.587</v>
      </c>
      <c r="H125" s="472">
        <v>206.81578071826897</v>
      </c>
      <c r="I125" s="471">
        <v>1043.25</v>
      </c>
      <c r="J125" s="472">
        <v>196.31525649381763</v>
      </c>
      <c r="K125" s="1000">
        <f>SUM(I125:J125)</f>
        <v>1239.5652564938177</v>
      </c>
    </row>
    <row r="126" spans="2:11" ht="12.75">
      <c r="B126" s="988"/>
      <c r="C126" s="990"/>
      <c r="D126" s="990"/>
      <c r="E126" s="990" t="s">
        <v>436</v>
      </c>
      <c r="F126" s="999" t="s">
        <v>844</v>
      </c>
      <c r="G126" s="471">
        <v>0</v>
      </c>
      <c r="H126" s="472">
        <v>0</v>
      </c>
      <c r="I126" s="471">
        <v>0</v>
      </c>
      <c r="J126" s="472">
        <v>0</v>
      </c>
      <c r="K126" s="1000">
        <f>SUM(I126:J126)</f>
        <v>0</v>
      </c>
    </row>
    <row r="127" spans="2:10" ht="12.75">
      <c r="B127" s="988"/>
      <c r="C127" s="990"/>
      <c r="D127" s="990"/>
      <c r="E127" s="990"/>
      <c r="F127" s="995"/>
      <c r="G127" s="1001"/>
      <c r="H127" s="1002"/>
      <c r="I127" s="1001"/>
      <c r="J127" s="1002"/>
    </row>
    <row r="128" spans="2:10" ht="12.75">
      <c r="B128" s="988"/>
      <c r="C128" s="990"/>
      <c r="D128" s="994" t="s">
        <v>583</v>
      </c>
      <c r="E128" s="990"/>
      <c r="F128" s="995"/>
      <c r="G128" s="1001"/>
      <c r="H128" s="1002"/>
      <c r="I128" s="1001"/>
      <c r="J128" s="1002"/>
    </row>
    <row r="129" spans="2:11" ht="12.75">
      <c r="B129" s="988"/>
      <c r="C129" s="990"/>
      <c r="D129" s="990"/>
      <c r="E129" s="1009" t="s">
        <v>437</v>
      </c>
      <c r="F129" s="999" t="s">
        <v>844</v>
      </c>
      <c r="G129" s="471">
        <v>0</v>
      </c>
      <c r="H129" s="472">
        <v>0</v>
      </c>
      <c r="I129" s="471">
        <v>0</v>
      </c>
      <c r="J129" s="472">
        <v>0</v>
      </c>
      <c r="K129" s="1000">
        <f>SUM(I129:J129)</f>
        <v>0</v>
      </c>
    </row>
    <row r="130" spans="2:10" ht="12.75">
      <c r="B130" s="988"/>
      <c r="C130" s="990"/>
      <c r="D130" s="990"/>
      <c r="E130" s="990"/>
      <c r="F130" s="995"/>
      <c r="G130" s="1001"/>
      <c r="H130" s="1002"/>
      <c r="I130" s="1001"/>
      <c r="J130" s="1002"/>
    </row>
    <row r="131" spans="2:10" ht="12.75">
      <c r="B131" s="988"/>
      <c r="C131" s="990"/>
      <c r="D131" s="994" t="s">
        <v>391</v>
      </c>
      <c r="E131" s="990"/>
      <c r="F131" s="995"/>
      <c r="G131" s="1001"/>
      <c r="H131" s="1002"/>
      <c r="I131" s="1001"/>
      <c r="J131" s="1002"/>
    </row>
    <row r="132" spans="2:11" ht="12.75">
      <c r="B132" s="988"/>
      <c r="C132" s="990"/>
      <c r="D132" s="990"/>
      <c r="E132" s="990" t="s">
        <v>438</v>
      </c>
      <c r="F132" s="999" t="s">
        <v>519</v>
      </c>
      <c r="G132" s="471">
        <v>919.986</v>
      </c>
      <c r="H132" s="472">
        <v>184.4416639991366</v>
      </c>
      <c r="I132" s="471">
        <v>931.221</v>
      </c>
      <c r="J132" s="472">
        <v>175.2340181810969</v>
      </c>
      <c r="K132" s="1000">
        <f>SUM(I132:J132)</f>
        <v>1106.4550181810969</v>
      </c>
    </row>
    <row r="133" spans="2:10" ht="12.75">
      <c r="B133" s="988"/>
      <c r="C133" s="990"/>
      <c r="D133" s="990"/>
      <c r="E133" s="990" t="s">
        <v>439</v>
      </c>
      <c r="F133" s="999" t="s">
        <v>519</v>
      </c>
      <c r="G133" s="1003"/>
      <c r="H133" s="1004"/>
      <c r="I133" s="1003"/>
      <c r="J133" s="1004"/>
    </row>
    <row r="134" spans="2:10" ht="12.75">
      <c r="B134" s="988"/>
      <c r="C134" s="990"/>
      <c r="D134" s="990"/>
      <c r="E134" s="990"/>
      <c r="F134" s="995"/>
      <c r="G134" s="1001"/>
      <c r="H134" s="1002"/>
      <c r="I134" s="1001"/>
      <c r="J134" s="1002"/>
    </row>
    <row r="135" spans="2:10" ht="12.75">
      <c r="B135" s="988"/>
      <c r="C135" s="990"/>
      <c r="D135" s="994" t="s">
        <v>146</v>
      </c>
      <c r="E135" s="990"/>
      <c r="F135" s="999"/>
      <c r="G135" s="1001"/>
      <c r="H135" s="1002"/>
      <c r="I135" s="1001"/>
      <c r="J135" s="1002"/>
    </row>
    <row r="136" spans="2:11" ht="12.75">
      <c r="B136" s="988"/>
      <c r="C136" s="990"/>
      <c r="D136" s="990"/>
      <c r="E136" s="1009" t="s">
        <v>440</v>
      </c>
      <c r="F136" s="999" t="s">
        <v>519</v>
      </c>
      <c r="G136" s="471">
        <v>1796.53</v>
      </c>
      <c r="H136" s="472">
        <v>360.17394028210094</v>
      </c>
      <c r="I136" s="471">
        <v>1880.9530000000002</v>
      </c>
      <c r="J136" s="472">
        <v>353.95137373382767</v>
      </c>
      <c r="K136" s="1000">
        <f>SUM(I136:J136)</f>
        <v>2234.904373733828</v>
      </c>
    </row>
    <row r="137" spans="2:10" ht="12.75">
      <c r="B137" s="988"/>
      <c r="C137" s="990"/>
      <c r="D137" s="990"/>
      <c r="E137" s="1009" t="s">
        <v>441</v>
      </c>
      <c r="F137" s="999" t="s">
        <v>519</v>
      </c>
      <c r="G137" s="1003"/>
      <c r="H137" s="1004"/>
      <c r="I137" s="1003"/>
      <c r="J137" s="1004"/>
    </row>
    <row r="138" spans="2:10" ht="13.5" thickBot="1">
      <c r="B138" s="983"/>
      <c r="C138" s="984"/>
      <c r="D138" s="984"/>
      <c r="E138" s="984"/>
      <c r="F138" s="473"/>
      <c r="G138" s="1011"/>
      <c r="H138" s="1012"/>
      <c r="I138" s="1011"/>
      <c r="J138" s="1012"/>
    </row>
    <row r="139" spans="2:10" ht="12.75">
      <c r="B139" s="1007"/>
      <c r="C139" s="1008" t="s">
        <v>446</v>
      </c>
      <c r="D139" s="1008"/>
      <c r="E139" s="1009"/>
      <c r="F139" s="1010"/>
      <c r="G139" s="1001"/>
      <c r="H139" s="1002"/>
      <c r="I139" s="1001"/>
      <c r="J139" s="1002"/>
    </row>
    <row r="140" spans="2:10" ht="12.75">
      <c r="B140" s="988"/>
      <c r="C140" s="990"/>
      <c r="D140" s="994" t="s">
        <v>449</v>
      </c>
      <c r="E140" s="990"/>
      <c r="F140" s="999"/>
      <c r="G140" s="1001"/>
      <c r="H140" s="1002"/>
      <c r="I140" s="1001"/>
      <c r="J140" s="1002"/>
    </row>
    <row r="141" spans="2:10" ht="12.75">
      <c r="B141" s="988"/>
      <c r="C141" s="990"/>
      <c r="D141" s="990"/>
      <c r="E141" s="1009" t="s">
        <v>450</v>
      </c>
      <c r="F141" s="999" t="s">
        <v>519</v>
      </c>
      <c r="G141" s="1003"/>
      <c r="H141" s="1004"/>
      <c r="I141" s="1003"/>
      <c r="J141" s="1004"/>
    </row>
    <row r="142" spans="2:10" ht="12.75">
      <c r="B142" s="988"/>
      <c r="C142" s="990"/>
      <c r="D142" s="990"/>
      <c r="E142" s="1009" t="s">
        <v>462</v>
      </c>
      <c r="F142" s="999" t="s">
        <v>519</v>
      </c>
      <c r="G142" s="1003"/>
      <c r="H142" s="1004"/>
      <c r="I142" s="1003"/>
      <c r="J142" s="1004"/>
    </row>
    <row r="143" spans="2:10" ht="12.75">
      <c r="B143" s="988"/>
      <c r="C143" s="1009"/>
      <c r="D143" s="994"/>
      <c r="E143" s="990"/>
      <c r="F143" s="999"/>
      <c r="G143" s="1001"/>
      <c r="H143" s="1002"/>
      <c r="I143" s="1001"/>
      <c r="J143" s="1002"/>
    </row>
    <row r="144" spans="2:10" ht="12.75">
      <c r="B144" s="988"/>
      <c r="C144" s="990"/>
      <c r="D144" s="994" t="s">
        <v>463</v>
      </c>
      <c r="E144" s="990"/>
      <c r="F144" s="999"/>
      <c r="G144" s="1001"/>
      <c r="H144" s="1002"/>
      <c r="I144" s="1001"/>
      <c r="J144" s="1002"/>
    </row>
    <row r="145" spans="2:10" ht="12.75">
      <c r="B145" s="988"/>
      <c r="C145" s="990"/>
      <c r="D145" s="990"/>
      <c r="E145" s="1009" t="s">
        <v>452</v>
      </c>
      <c r="F145" s="999" t="s">
        <v>519</v>
      </c>
      <c r="G145" s="1003"/>
      <c r="H145" s="1004"/>
      <c r="I145" s="1003"/>
      <c r="J145" s="1004"/>
    </row>
    <row r="146" spans="2:10" ht="12.75">
      <c r="B146" s="988"/>
      <c r="C146" s="990"/>
      <c r="D146" s="990"/>
      <c r="E146" s="1009" t="s">
        <v>453</v>
      </c>
      <c r="F146" s="999" t="s">
        <v>519</v>
      </c>
      <c r="G146" s="1003"/>
      <c r="H146" s="1004"/>
      <c r="I146" s="1003"/>
      <c r="J146" s="1004"/>
    </row>
    <row r="147" spans="2:10" ht="13.5" thickBot="1">
      <c r="B147" s="983"/>
      <c r="C147" s="984"/>
      <c r="D147" s="984"/>
      <c r="E147" s="984"/>
      <c r="F147" s="473"/>
      <c r="G147" s="1013"/>
      <c r="H147" s="1014"/>
      <c r="I147" s="1013"/>
      <c r="J147" s="1014"/>
    </row>
    <row r="148" spans="2:10" ht="13.5" thickBot="1">
      <c r="B148" s="1009"/>
      <c r="C148" s="1009"/>
      <c r="D148" s="1009"/>
      <c r="E148" s="1009"/>
      <c r="F148" s="1009"/>
      <c r="G148" s="390"/>
      <c r="H148" s="390"/>
      <c r="I148" s="390"/>
      <c r="J148" s="390"/>
    </row>
    <row r="149" spans="2:10" ht="12.75">
      <c r="B149" s="1015"/>
      <c r="C149" s="1016" t="s">
        <v>454</v>
      </c>
      <c r="D149" s="1016"/>
      <c r="E149" s="1017"/>
      <c r="F149" s="1018"/>
      <c r="G149" s="1019"/>
      <c r="H149" s="1020"/>
      <c r="I149" s="1019"/>
      <c r="J149" s="1020"/>
    </row>
    <row r="150" spans="2:10" ht="12.75">
      <c r="B150" s="998"/>
      <c r="C150" s="990"/>
      <c r="D150" s="994"/>
      <c r="E150" s="994" t="s">
        <v>725</v>
      </c>
      <c r="F150" s="999"/>
      <c r="G150" s="474"/>
      <c r="H150" s="475"/>
      <c r="I150" s="474"/>
      <c r="J150" s="475"/>
    </row>
    <row r="151" spans="2:11" ht="12.75">
      <c r="B151" s="998"/>
      <c r="C151" s="990"/>
      <c r="D151" s="994"/>
      <c r="E151" s="1021" t="s">
        <v>455</v>
      </c>
      <c r="F151" s="999" t="s">
        <v>519</v>
      </c>
      <c r="G151" s="471">
        <v>24.182000000000002</v>
      </c>
      <c r="H151" s="472">
        <v>4.848082817376701</v>
      </c>
      <c r="I151" s="471">
        <v>26.001</v>
      </c>
      <c r="J151" s="472">
        <v>4.892780238768993</v>
      </c>
      <c r="K151" s="1000">
        <f>SUM(I151:J151)</f>
        <v>30.893780238768993</v>
      </c>
    </row>
    <row r="152" spans="2:11" ht="12.75">
      <c r="B152" s="998"/>
      <c r="C152" s="990"/>
      <c r="D152" s="994"/>
      <c r="E152" s="1021" t="s">
        <v>456</v>
      </c>
      <c r="F152" s="999" t="s">
        <v>519</v>
      </c>
      <c r="G152" s="471">
        <v>6.099</v>
      </c>
      <c r="H152" s="472">
        <v>1.2227465512852744</v>
      </c>
      <c r="I152" s="471">
        <v>6.634</v>
      </c>
      <c r="J152" s="472">
        <v>1.2483636823196609</v>
      </c>
      <c r="K152" s="1000">
        <f>SUM(I152:J152)</f>
        <v>7.882363682319661</v>
      </c>
    </row>
    <row r="153" spans="2:10" ht="12.75">
      <c r="B153" s="998"/>
      <c r="C153" s="990"/>
      <c r="D153" s="994"/>
      <c r="E153" s="994" t="s">
        <v>282</v>
      </c>
      <c r="F153" s="999"/>
      <c r="G153" s="474"/>
      <c r="H153" s="475"/>
      <c r="I153" s="474"/>
      <c r="J153" s="475"/>
    </row>
    <row r="154" spans="2:11" ht="12.75">
      <c r="B154" s="998"/>
      <c r="C154" s="990"/>
      <c r="D154" s="994"/>
      <c r="E154" s="1021" t="s">
        <v>455</v>
      </c>
      <c r="F154" s="999" t="s">
        <v>519</v>
      </c>
      <c r="G154" s="471">
        <v>0</v>
      </c>
      <c r="H154" s="472">
        <v>0</v>
      </c>
      <c r="I154" s="471">
        <v>0</v>
      </c>
      <c r="J154" s="472">
        <v>0</v>
      </c>
      <c r="K154" s="1000">
        <f>SUM(I154:J154)</f>
        <v>0</v>
      </c>
    </row>
    <row r="155" spans="2:11" ht="13.5" thickBot="1">
      <c r="B155" s="1022"/>
      <c r="C155" s="1023"/>
      <c r="D155" s="1024"/>
      <c r="E155" s="1025" t="s">
        <v>456</v>
      </c>
      <c r="F155" s="1026" t="s">
        <v>519</v>
      </c>
      <c r="G155" s="476">
        <v>0</v>
      </c>
      <c r="H155" s="477">
        <v>0</v>
      </c>
      <c r="I155" s="476">
        <v>0</v>
      </c>
      <c r="J155" s="477">
        <v>0</v>
      </c>
      <c r="K155" s="1000">
        <f>SUM(I155:J155)</f>
        <v>0</v>
      </c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19.00390625" style="0" customWidth="1"/>
  </cols>
  <sheetData>
    <row r="1" spans="1:8" ht="12.75">
      <c r="A1" s="916" t="s">
        <v>662</v>
      </c>
      <c r="F1" s="911" t="s">
        <v>795</v>
      </c>
      <c r="H1" t="s">
        <v>287</v>
      </c>
    </row>
    <row r="3" ht="12.75">
      <c r="A3" s="916" t="s">
        <v>535</v>
      </c>
    </row>
    <row r="5" spans="3:38" ht="12.75">
      <c r="C5" s="478" t="s">
        <v>46</v>
      </c>
      <c r="D5" s="479"/>
      <c r="E5" s="479"/>
      <c r="F5" s="479"/>
      <c r="G5" s="479"/>
      <c r="H5" s="479"/>
      <c r="I5" s="478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80"/>
    </row>
    <row r="6" spans="3:38" ht="12.75">
      <c r="C6" s="481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3"/>
    </row>
    <row r="7" spans="3:38" ht="12.75" customHeight="1">
      <c r="C7" s="481"/>
      <c r="D7" s="1474" t="s">
        <v>57</v>
      </c>
      <c r="E7" s="1475"/>
      <c r="F7" s="1475"/>
      <c r="G7" s="1475"/>
      <c r="H7" s="1475"/>
      <c r="I7" s="1475"/>
      <c r="J7" s="1475"/>
      <c r="K7" s="1475"/>
      <c r="L7" s="1475"/>
      <c r="M7" s="1475"/>
      <c r="N7" s="1475"/>
      <c r="O7" s="1475"/>
      <c r="P7" s="1475"/>
      <c r="Q7" s="1475"/>
      <c r="R7" s="1475"/>
      <c r="S7" s="1475"/>
      <c r="T7" s="1475"/>
      <c r="U7" s="1475"/>
      <c r="V7" s="1475"/>
      <c r="W7" s="1475"/>
      <c r="X7" s="1476"/>
      <c r="Y7" s="1469" t="s">
        <v>239</v>
      </c>
      <c r="Z7" s="1469" t="s">
        <v>240</v>
      </c>
      <c r="AA7" s="1469" t="s">
        <v>568</v>
      </c>
      <c r="AB7" s="1469" t="s">
        <v>569</v>
      </c>
      <c r="AC7" s="1469" t="s">
        <v>278</v>
      </c>
      <c r="AD7" s="1469" t="s">
        <v>703</v>
      </c>
      <c r="AE7" s="1469" t="s">
        <v>537</v>
      </c>
      <c r="AF7" s="1469" t="s">
        <v>407</v>
      </c>
      <c r="AG7" s="1469" t="s">
        <v>408</v>
      </c>
      <c r="AH7" s="1469" t="s">
        <v>399</v>
      </c>
      <c r="AI7" s="1469" t="s">
        <v>267</v>
      </c>
      <c r="AJ7" s="1469" t="s">
        <v>268</v>
      </c>
      <c r="AK7" s="1477" t="s">
        <v>293</v>
      </c>
      <c r="AL7" s="484"/>
    </row>
    <row r="8" spans="3:38" ht="12.75">
      <c r="C8" s="481"/>
      <c r="D8" s="1480" t="s">
        <v>547</v>
      </c>
      <c r="E8" s="1481"/>
      <c r="F8" s="1481"/>
      <c r="G8" s="1481"/>
      <c r="H8" s="1481"/>
      <c r="I8" s="1482"/>
      <c r="J8" s="1483" t="s">
        <v>235</v>
      </c>
      <c r="K8" s="1484"/>
      <c r="L8" s="1484"/>
      <c r="M8" s="1484"/>
      <c r="N8" s="1484"/>
      <c r="O8" s="1484"/>
      <c r="P8" s="1484"/>
      <c r="Q8" s="1484"/>
      <c r="R8" s="1484"/>
      <c r="S8" s="1484"/>
      <c r="T8" s="1484"/>
      <c r="U8" s="1484"/>
      <c r="V8" s="1484"/>
      <c r="W8" s="1484"/>
      <c r="X8" s="1485"/>
      <c r="Y8" s="1470"/>
      <c r="Z8" s="1470"/>
      <c r="AA8" s="1470"/>
      <c r="AB8" s="1470"/>
      <c r="AC8" s="1470"/>
      <c r="AD8" s="1470"/>
      <c r="AE8" s="1470"/>
      <c r="AF8" s="1470"/>
      <c r="AG8" s="1470"/>
      <c r="AH8" s="1470"/>
      <c r="AI8" s="1470"/>
      <c r="AJ8" s="1470"/>
      <c r="AK8" s="1478"/>
      <c r="AL8" s="484"/>
    </row>
    <row r="9" spans="3:38" s="972" customFormat="1" ht="131.25">
      <c r="C9" s="505" t="s">
        <v>283</v>
      </c>
      <c r="D9" s="506" t="s">
        <v>394</v>
      </c>
      <c r="E9" s="506" t="s">
        <v>233</v>
      </c>
      <c r="F9" s="506" t="s">
        <v>234</v>
      </c>
      <c r="G9" s="506" t="s">
        <v>764</v>
      </c>
      <c r="H9" s="506" t="s">
        <v>126</v>
      </c>
      <c r="I9" s="506" t="s">
        <v>766</v>
      </c>
      <c r="J9" s="506" t="s">
        <v>704</v>
      </c>
      <c r="K9" s="507" t="s">
        <v>705</v>
      </c>
      <c r="L9" s="507" t="s">
        <v>706</v>
      </c>
      <c r="M9" s="507" t="s">
        <v>577</v>
      </c>
      <c r="N9" s="507" t="s">
        <v>578</v>
      </c>
      <c r="O9" s="507" t="s">
        <v>579</v>
      </c>
      <c r="P9" s="507" t="s">
        <v>800</v>
      </c>
      <c r="Q9" s="507" t="s">
        <v>801</v>
      </c>
      <c r="R9" s="507" t="s">
        <v>429</v>
      </c>
      <c r="S9" s="507" t="s">
        <v>297</v>
      </c>
      <c r="T9" s="507" t="s">
        <v>428</v>
      </c>
      <c r="U9" s="507" t="s">
        <v>718</v>
      </c>
      <c r="V9" s="507" t="s">
        <v>284</v>
      </c>
      <c r="W9" s="507" t="s">
        <v>751</v>
      </c>
      <c r="X9" s="507" t="s">
        <v>238</v>
      </c>
      <c r="Y9" s="1471"/>
      <c r="Z9" s="1471"/>
      <c r="AA9" s="1471"/>
      <c r="AB9" s="1471"/>
      <c r="AC9" s="1471"/>
      <c r="AD9" s="1471"/>
      <c r="AE9" s="1471"/>
      <c r="AF9" s="1471"/>
      <c r="AG9" s="1471"/>
      <c r="AH9" s="1471"/>
      <c r="AI9" s="1471"/>
      <c r="AJ9" s="1471"/>
      <c r="AK9" s="1479"/>
      <c r="AL9" s="508"/>
    </row>
    <row r="10" spans="3:38" ht="12.75">
      <c r="C10" s="485"/>
      <c r="D10" s="486" t="s">
        <v>555</v>
      </c>
      <c r="E10" s="486" t="s">
        <v>555</v>
      </c>
      <c r="F10" s="486" t="s">
        <v>555</v>
      </c>
      <c r="G10" s="486" t="s">
        <v>555</v>
      </c>
      <c r="H10" s="486" t="s">
        <v>555</v>
      </c>
      <c r="I10" s="486" t="s">
        <v>555</v>
      </c>
      <c r="J10" s="486" t="s">
        <v>555</v>
      </c>
      <c r="K10" s="486" t="s">
        <v>555</v>
      </c>
      <c r="L10" s="486" t="s">
        <v>555</v>
      </c>
      <c r="M10" s="486" t="s">
        <v>555</v>
      </c>
      <c r="N10" s="486" t="s">
        <v>555</v>
      </c>
      <c r="O10" s="486" t="s">
        <v>555</v>
      </c>
      <c r="P10" s="486" t="s">
        <v>555</v>
      </c>
      <c r="Q10" s="486" t="s">
        <v>555</v>
      </c>
      <c r="R10" s="486" t="s">
        <v>555</v>
      </c>
      <c r="S10" s="486" t="s">
        <v>555</v>
      </c>
      <c r="T10" s="486" t="s">
        <v>555</v>
      </c>
      <c r="U10" s="486" t="s">
        <v>555</v>
      </c>
      <c r="V10" s="486" t="s">
        <v>555</v>
      </c>
      <c r="W10" s="486" t="s">
        <v>555</v>
      </c>
      <c r="X10" s="486" t="s">
        <v>555</v>
      </c>
      <c r="Y10" s="486" t="s">
        <v>555</v>
      </c>
      <c r="Z10" s="486" t="s">
        <v>555</v>
      </c>
      <c r="AA10" s="486" t="s">
        <v>555</v>
      </c>
      <c r="AB10" s="486" t="s">
        <v>555</v>
      </c>
      <c r="AC10" s="486" t="s">
        <v>555</v>
      </c>
      <c r="AD10" s="486" t="s">
        <v>555</v>
      </c>
      <c r="AE10" s="486" t="s">
        <v>555</v>
      </c>
      <c r="AF10" s="486" t="s">
        <v>555</v>
      </c>
      <c r="AG10" s="486" t="s">
        <v>555</v>
      </c>
      <c r="AH10" s="486" t="s">
        <v>555</v>
      </c>
      <c r="AI10" s="486" t="s">
        <v>555</v>
      </c>
      <c r="AJ10" s="486" t="s">
        <v>555</v>
      </c>
      <c r="AK10" s="486" t="s">
        <v>555</v>
      </c>
      <c r="AL10" s="483"/>
    </row>
    <row r="11" spans="3:38" ht="12.75">
      <c r="C11" s="487"/>
      <c r="D11" s="488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3"/>
    </row>
    <row r="12" spans="3:38" ht="12.75">
      <c r="C12" s="489" t="s">
        <v>286</v>
      </c>
      <c r="D12" s="490">
        <v>11.260750888044793</v>
      </c>
      <c r="E12" s="490">
        <v>86.73865287324719</v>
      </c>
      <c r="F12" s="490">
        <v>2.29019998832</v>
      </c>
      <c r="G12" s="490">
        <v>23.607461477008215</v>
      </c>
      <c r="H12" s="490">
        <v>11.683384510026801</v>
      </c>
      <c r="I12" s="490">
        <v>4.908277594</v>
      </c>
      <c r="J12" s="490">
        <v>0.7748693844631999</v>
      </c>
      <c r="K12" s="490">
        <v>5.623596795263783</v>
      </c>
      <c r="L12" s="490">
        <v>4.196281057910746</v>
      </c>
      <c r="M12" s="490">
        <v>23.39222530593641</v>
      </c>
      <c r="N12" s="490">
        <v>3.9932671215815496</v>
      </c>
      <c r="O12" s="490">
        <v>1.8430952204672004</v>
      </c>
      <c r="P12" s="490">
        <v>1.4394826722359997</v>
      </c>
      <c r="Q12" s="490">
        <v>1.3630810727301883</v>
      </c>
      <c r="R12" s="490">
        <v>5.439945994520001</v>
      </c>
      <c r="S12" s="490">
        <v>11.413705956353251</v>
      </c>
      <c r="T12" s="490">
        <v>5.5343552999991585</v>
      </c>
      <c r="U12" s="490">
        <v>1.3726373768207174</v>
      </c>
      <c r="V12" s="490">
        <v>1.961463426448102</v>
      </c>
      <c r="W12" s="490">
        <v>7.781675596857257</v>
      </c>
      <c r="X12" s="490">
        <v>1.536754324034403</v>
      </c>
      <c r="Y12" s="490">
        <v>2.24185108</v>
      </c>
      <c r="Z12" s="490">
        <v>7.62</v>
      </c>
      <c r="AA12" s="490">
        <v>0.81564207</v>
      </c>
      <c r="AB12" s="490">
        <v>12.183907341469606</v>
      </c>
      <c r="AC12" s="490">
        <v>1.3999999737279722E-07</v>
      </c>
      <c r="AD12" s="490">
        <v>1.0147458008000003</v>
      </c>
      <c r="AE12" s="490">
        <v>-5.196946326332162</v>
      </c>
      <c r="AF12" s="490">
        <v>39.1304654503</v>
      </c>
      <c r="AG12" s="490">
        <v>20.1842268</v>
      </c>
      <c r="AH12" s="490">
        <v>8</v>
      </c>
      <c r="AI12" s="490">
        <v>-7.62</v>
      </c>
      <c r="AJ12" s="490">
        <v>2.470943707493632</v>
      </c>
      <c r="AK12" s="490">
        <v>299</v>
      </c>
      <c r="AL12" s="491"/>
    </row>
    <row r="13" spans="3:38" ht="12.75">
      <c r="C13" s="489" t="s">
        <v>414</v>
      </c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>
        <v>0</v>
      </c>
      <c r="AL13" s="491"/>
    </row>
    <row r="14" spans="3:38" ht="12.75">
      <c r="C14" s="489" t="s">
        <v>286</v>
      </c>
      <c r="D14" s="490">
        <v>11.260750888044793</v>
      </c>
      <c r="E14" s="490">
        <v>86.73865287324719</v>
      </c>
      <c r="F14" s="490">
        <v>2.29019998832</v>
      </c>
      <c r="G14" s="490">
        <v>23.607461477008215</v>
      </c>
      <c r="H14" s="490">
        <v>11.683384510026801</v>
      </c>
      <c r="I14" s="490">
        <v>4.908277594</v>
      </c>
      <c r="J14" s="490">
        <v>0.7748693844631999</v>
      </c>
      <c r="K14" s="490">
        <v>5.623596795263783</v>
      </c>
      <c r="L14" s="490">
        <v>4.196281057910746</v>
      </c>
      <c r="M14" s="490">
        <v>23.39222530593641</v>
      </c>
      <c r="N14" s="490">
        <v>3.9932671215815496</v>
      </c>
      <c r="O14" s="490">
        <v>1.8430952204672004</v>
      </c>
      <c r="P14" s="490">
        <v>1.4394826722359997</v>
      </c>
      <c r="Q14" s="490">
        <v>1.3630810727301883</v>
      </c>
      <c r="R14" s="490">
        <v>5.439945994520001</v>
      </c>
      <c r="S14" s="490">
        <v>11.413705956353251</v>
      </c>
      <c r="T14" s="490">
        <v>5.5343552999991585</v>
      </c>
      <c r="U14" s="490">
        <v>1.3726373768207174</v>
      </c>
      <c r="V14" s="490">
        <v>1.961463426448102</v>
      </c>
      <c r="W14" s="490">
        <v>7.781675596857257</v>
      </c>
      <c r="X14" s="490">
        <v>1.536754324034403</v>
      </c>
      <c r="Y14" s="490">
        <v>2.24185108</v>
      </c>
      <c r="Z14" s="490">
        <v>7.62</v>
      </c>
      <c r="AA14" s="490">
        <v>0.81564207</v>
      </c>
      <c r="AB14" s="490">
        <v>12.183907341469606</v>
      </c>
      <c r="AC14" s="490">
        <v>1.3999999737279722E-07</v>
      </c>
      <c r="AD14" s="490">
        <v>1.0147458008000003</v>
      </c>
      <c r="AE14" s="490">
        <v>-5.196946326332162</v>
      </c>
      <c r="AF14" s="490">
        <v>39.1304654503</v>
      </c>
      <c r="AG14" s="490">
        <v>20.1842268</v>
      </c>
      <c r="AH14" s="490">
        <v>8</v>
      </c>
      <c r="AI14" s="490">
        <v>-7.62</v>
      </c>
      <c r="AJ14" s="490">
        <v>2.470943707493632</v>
      </c>
      <c r="AK14" s="490">
        <v>299</v>
      </c>
      <c r="AL14" s="491"/>
    </row>
    <row r="15" spans="3:38" ht="12.75">
      <c r="C15" s="489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1"/>
    </row>
    <row r="16" spans="3:38" ht="12.75">
      <c r="C16" s="489" t="s">
        <v>415</v>
      </c>
      <c r="D16" s="490">
        <v>8.640693052863021</v>
      </c>
      <c r="E16" s="490">
        <v>69.0503206200924</v>
      </c>
      <c r="F16" s="490">
        <v>2.6978757939299998</v>
      </c>
      <c r="G16" s="490">
        <v>26.585929994545726</v>
      </c>
      <c r="H16" s="490">
        <v>8.493353497252874</v>
      </c>
      <c r="I16" s="490">
        <v>5.780099657572015</v>
      </c>
      <c r="J16" s="490">
        <v>1.1741027657412046</v>
      </c>
      <c r="K16" s="490">
        <v>3.8077610766246233</v>
      </c>
      <c r="L16" s="490">
        <v>5.041970767615255</v>
      </c>
      <c r="M16" s="490">
        <v>18.20407943699536</v>
      </c>
      <c r="N16" s="490">
        <v>4.145131036182772</v>
      </c>
      <c r="O16" s="490">
        <v>1.7043014022479737</v>
      </c>
      <c r="P16" s="490">
        <v>1.5747594627143606</v>
      </c>
      <c r="Q16" s="490">
        <v>1.4758625624493948</v>
      </c>
      <c r="R16" s="490">
        <v>4.674218852198673</v>
      </c>
      <c r="S16" s="490">
        <v>11.684030483425074</v>
      </c>
      <c r="T16" s="490">
        <v>4.600064004273052</v>
      </c>
      <c r="U16" s="490">
        <v>2.0876733918815966</v>
      </c>
      <c r="V16" s="490">
        <v>2.3444157040209626</v>
      </c>
      <c r="W16" s="490">
        <v>7.71819896534008</v>
      </c>
      <c r="X16" s="490">
        <v>1.8922248593075113</v>
      </c>
      <c r="Y16" s="490">
        <v>3.1853175699999996</v>
      </c>
      <c r="Z16" s="490">
        <v>2.1</v>
      </c>
      <c r="AA16" s="490">
        <v>5.275737524554564</v>
      </c>
      <c r="AB16" s="490">
        <v>10.839291641651382</v>
      </c>
      <c r="AC16" s="490">
        <v>0</v>
      </c>
      <c r="AD16" s="490">
        <v>0</v>
      </c>
      <c r="AE16" s="490">
        <v>1.1714051563517915</v>
      </c>
      <c r="AF16" s="490">
        <v>39.324080569530004</v>
      </c>
      <c r="AG16" s="490">
        <v>20.276195809999997</v>
      </c>
      <c r="AH16" s="490">
        <v>7.2444885</v>
      </c>
      <c r="AI16" s="490">
        <v>-2.1</v>
      </c>
      <c r="AJ16" s="490">
        <v>11.876043500638502</v>
      </c>
      <c r="AK16" s="490">
        <v>292.56962766000015</v>
      </c>
      <c r="AL16" s="494"/>
    </row>
    <row r="17" spans="3:38" ht="12.75">
      <c r="C17" s="489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490"/>
      <c r="W17" s="490"/>
      <c r="X17" s="490"/>
      <c r="Y17" s="490"/>
      <c r="Z17" s="490"/>
      <c r="AA17" s="490"/>
      <c r="AB17" s="490"/>
      <c r="AC17" s="490"/>
      <c r="AD17" s="490"/>
      <c r="AE17" s="490"/>
      <c r="AF17" s="490"/>
      <c r="AG17" s="490"/>
      <c r="AH17" s="490"/>
      <c r="AI17" s="490"/>
      <c r="AJ17" s="490"/>
      <c r="AK17" s="490"/>
      <c r="AL17" s="494"/>
    </row>
    <row r="18" spans="3:38" ht="12.75">
      <c r="C18" s="489" t="s">
        <v>288</v>
      </c>
      <c r="D18" s="490">
        <v>22.05381964681996</v>
      </c>
      <c r="E18" s="490">
        <v>52.0101515815571</v>
      </c>
      <c r="F18" s="490">
        <v>1.665331330495831</v>
      </c>
      <c r="G18" s="490">
        <v>25.73966964493848</v>
      </c>
      <c r="H18" s="490">
        <v>6.283876117515868</v>
      </c>
      <c r="I18" s="490">
        <v>2.1592628089684665</v>
      </c>
      <c r="J18" s="490">
        <v>0.469920866856988</v>
      </c>
      <c r="K18" s="490">
        <v>3.7710730875040674</v>
      </c>
      <c r="L18" s="490">
        <v>6.13674850428638</v>
      </c>
      <c r="M18" s="490">
        <v>10.797410407551657</v>
      </c>
      <c r="N18" s="490">
        <v>3.26038662797646</v>
      </c>
      <c r="O18" s="490">
        <v>2.025923862369642</v>
      </c>
      <c r="P18" s="490">
        <v>1.3641478864905945</v>
      </c>
      <c r="Q18" s="490">
        <v>2.1503455470888513</v>
      </c>
      <c r="R18" s="490">
        <v>2.740238104851957</v>
      </c>
      <c r="S18" s="490">
        <v>7.4525859839648</v>
      </c>
      <c r="T18" s="490">
        <v>5.030656333039407</v>
      </c>
      <c r="U18" s="490">
        <v>1.1978004536561848</v>
      </c>
      <c r="V18" s="490">
        <v>1.761240812680917</v>
      </c>
      <c r="W18" s="490">
        <v>8.087676365109216</v>
      </c>
      <c r="X18" s="490">
        <v>2.297316966563754</v>
      </c>
      <c r="Y18" s="490">
        <v>3.7657640000000003</v>
      </c>
      <c r="Z18" s="490">
        <v>68.1</v>
      </c>
      <c r="AA18" s="490">
        <v>8.718346579999999</v>
      </c>
      <c r="AB18" s="490">
        <v>9.94846804360747</v>
      </c>
      <c r="AC18" s="490">
        <v>0</v>
      </c>
      <c r="AD18" s="490">
        <v>0</v>
      </c>
      <c r="AE18" s="490">
        <v>0</v>
      </c>
      <c r="AF18" s="490">
        <v>44.99936019</v>
      </c>
      <c r="AG18" s="490">
        <v>21.829069</v>
      </c>
      <c r="AH18" s="490">
        <v>6.62932332</v>
      </c>
      <c r="AI18" s="490">
        <v>-68.1</v>
      </c>
      <c r="AJ18" s="490">
        <v>-3.9633140738940824</v>
      </c>
      <c r="AK18" s="490">
        <v>260.38259999999997</v>
      </c>
      <c r="AL18" s="494"/>
    </row>
    <row r="19" spans="3:38" ht="12.75">
      <c r="C19" s="495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6"/>
      <c r="AH19" s="496"/>
      <c r="AI19" s="496"/>
      <c r="AJ19" s="496"/>
      <c r="AK19" s="496"/>
      <c r="AL19" s="491"/>
    </row>
    <row r="20" spans="3:38" ht="12.75">
      <c r="C20" s="482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1"/>
    </row>
    <row r="21" spans="3:38" ht="12.75">
      <c r="C21" s="498" t="s">
        <v>252</v>
      </c>
      <c r="D21" s="498"/>
      <c r="E21" s="498"/>
      <c r="F21" s="499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1"/>
      <c r="S21" s="498"/>
      <c r="T21" s="498"/>
      <c r="U21" s="498"/>
      <c r="V21" s="498"/>
      <c r="W21" s="498"/>
      <c r="X21" s="498"/>
      <c r="Y21" s="498"/>
      <c r="Z21" s="498"/>
      <c r="AA21" s="498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1"/>
    </row>
    <row r="22" spans="3:38" ht="12.75" customHeight="1">
      <c r="C22" s="498">
        <v>1</v>
      </c>
      <c r="D22" s="1472" t="s">
        <v>53</v>
      </c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3"/>
      <c r="Z22" s="1473"/>
      <c r="AA22" s="1473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1"/>
    </row>
    <row r="23" spans="3:38" ht="12.75" customHeight="1">
      <c r="C23" s="498">
        <v>2</v>
      </c>
      <c r="D23" s="1472" t="s">
        <v>47</v>
      </c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3"/>
      <c r="AA23" s="1473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1"/>
    </row>
    <row r="24" spans="3:38" ht="12.75" customHeight="1">
      <c r="C24" s="498">
        <v>3</v>
      </c>
      <c r="D24" s="1472" t="s">
        <v>28</v>
      </c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3"/>
      <c r="Z24" s="1473"/>
      <c r="AA24" s="1473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1"/>
    </row>
    <row r="25" spans="3:38" ht="12.75" customHeight="1">
      <c r="C25" s="498">
        <v>4</v>
      </c>
      <c r="D25" s="1472" t="s">
        <v>48</v>
      </c>
      <c r="E25" s="1473"/>
      <c r="F25" s="1473"/>
      <c r="G25" s="1473"/>
      <c r="H25" s="1473"/>
      <c r="I25" s="1473"/>
      <c r="J25" s="1473"/>
      <c r="K25" s="1473"/>
      <c r="L25" s="1473"/>
      <c r="M25" s="1473"/>
      <c r="N25" s="1473"/>
      <c r="O25" s="1473"/>
      <c r="P25" s="1473"/>
      <c r="Q25" s="1473"/>
      <c r="R25" s="1473"/>
      <c r="S25" s="1473"/>
      <c r="T25" s="1473"/>
      <c r="U25" s="1473"/>
      <c r="V25" s="1473"/>
      <c r="W25" s="1473"/>
      <c r="X25" s="1473"/>
      <c r="Y25" s="1473"/>
      <c r="Z25" s="1473"/>
      <c r="AA25" s="1473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1"/>
    </row>
    <row r="26" spans="3:38" ht="12.75" customHeight="1">
      <c r="C26" s="498">
        <v>5</v>
      </c>
      <c r="D26" s="1472" t="s">
        <v>49</v>
      </c>
      <c r="E26" s="1473"/>
      <c r="F26" s="1473"/>
      <c r="G26" s="1473"/>
      <c r="H26" s="1473"/>
      <c r="I26" s="1473"/>
      <c r="J26" s="1473"/>
      <c r="K26" s="1473"/>
      <c r="L26" s="1473"/>
      <c r="M26" s="1473"/>
      <c r="N26" s="1473"/>
      <c r="O26" s="1473"/>
      <c r="P26" s="1473"/>
      <c r="Q26" s="1473"/>
      <c r="R26" s="1473"/>
      <c r="S26" s="1473"/>
      <c r="T26" s="1473"/>
      <c r="U26" s="1473"/>
      <c r="V26" s="1473"/>
      <c r="W26" s="1473"/>
      <c r="X26" s="1473"/>
      <c r="Y26" s="1473"/>
      <c r="Z26" s="1473"/>
      <c r="AA26" s="1473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1"/>
    </row>
    <row r="27" spans="3:38" ht="12.75">
      <c r="C27" s="502"/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3"/>
      <c r="Q27" s="503"/>
      <c r="R27" s="503"/>
      <c r="S27" s="503"/>
      <c r="T27" s="503"/>
      <c r="U27" s="503"/>
      <c r="V27" s="503"/>
      <c r="W27" s="503"/>
      <c r="X27" s="503"/>
      <c r="Y27" s="503"/>
      <c r="Z27" s="503"/>
      <c r="AA27" s="503"/>
      <c r="AB27" s="503"/>
      <c r="AC27" s="503"/>
      <c r="AD27" s="503"/>
      <c r="AE27" s="503"/>
      <c r="AF27" s="503"/>
      <c r="AG27" s="503"/>
      <c r="AH27" s="503"/>
      <c r="AI27" s="503"/>
      <c r="AJ27" s="503"/>
      <c r="AK27" s="503"/>
      <c r="AL27" s="504"/>
    </row>
  </sheetData>
  <sheetProtection/>
  <mergeCells count="21">
    <mergeCell ref="AI7:AI9"/>
    <mergeCell ref="Z7:Z9"/>
    <mergeCell ref="AK7:AK9"/>
    <mergeCell ref="D8:I8"/>
    <mergeCell ref="J8:X8"/>
    <mergeCell ref="AF7:AF9"/>
    <mergeCell ref="AG7:AG9"/>
    <mergeCell ref="AJ7:AJ9"/>
    <mergeCell ref="AE7:AE9"/>
    <mergeCell ref="AD7:AD9"/>
    <mergeCell ref="AH7:AH9"/>
    <mergeCell ref="AB7:AB9"/>
    <mergeCell ref="AC7:AC9"/>
    <mergeCell ref="AA7:AA9"/>
    <mergeCell ref="D26:AA26"/>
    <mergeCell ref="D22:AA22"/>
    <mergeCell ref="D23:AA23"/>
    <mergeCell ref="D24:AA24"/>
    <mergeCell ref="D25:AA25"/>
    <mergeCell ref="D7:X7"/>
    <mergeCell ref="Y7:Y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916" t="s">
        <v>662</v>
      </c>
      <c r="E1" s="911" t="s">
        <v>795</v>
      </c>
    </row>
    <row r="2" ht="12.75">
      <c r="A2" s="916"/>
    </row>
    <row r="3" ht="12.75">
      <c r="A3" s="916" t="s">
        <v>535</v>
      </c>
    </row>
    <row r="5" spans="1:18" ht="16.5" thickBot="1">
      <c r="A5" s="940" t="s">
        <v>647</v>
      </c>
      <c r="B5" s="519"/>
      <c r="C5" s="519"/>
      <c r="D5" s="520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</row>
    <row r="6" spans="1:18" ht="13.5" thickBot="1">
      <c r="A6" s="519"/>
      <c r="B6" s="519"/>
      <c r="C6" s="519"/>
      <c r="D6" s="520"/>
      <c r="E6" s="519"/>
      <c r="F6" s="519"/>
      <c r="G6" s="519"/>
      <c r="H6" s="519"/>
      <c r="I6" s="519"/>
      <c r="J6" s="519"/>
      <c r="K6" s="519"/>
      <c r="L6" s="519"/>
      <c r="M6" s="1486" t="s">
        <v>59</v>
      </c>
      <c r="N6" s="1487"/>
      <c r="O6" s="1487"/>
      <c r="P6" s="1487"/>
      <c r="Q6" s="1488"/>
      <c r="R6" s="519"/>
    </row>
    <row r="7" spans="1:18" s="943" customFormat="1" ht="13.5" customHeight="1" thickBot="1">
      <c r="A7" s="941"/>
      <c r="B7" s="941"/>
      <c r="C7" s="941"/>
      <c r="D7" s="942"/>
      <c r="E7" s="1489" t="s">
        <v>648</v>
      </c>
      <c r="F7" s="1490"/>
      <c r="G7" s="1491"/>
      <c r="H7" s="626"/>
      <c r="I7" s="1492" t="s">
        <v>649</v>
      </c>
      <c r="J7" s="1493"/>
      <c r="K7" s="1494"/>
      <c r="L7" s="941"/>
      <c r="M7" s="1495" t="s">
        <v>648</v>
      </c>
      <c r="N7" s="1496"/>
      <c r="O7" s="1497"/>
      <c r="P7" s="627"/>
      <c r="Q7" s="1501" t="s">
        <v>764</v>
      </c>
      <c r="R7" s="942"/>
    </row>
    <row r="8" spans="1:18" ht="15" thickBot="1">
      <c r="A8" s="521"/>
      <c r="B8" s="521"/>
      <c r="C8" s="521"/>
      <c r="D8" s="523"/>
      <c r="E8" s="628"/>
      <c r="F8" s="629" t="s">
        <v>650</v>
      </c>
      <c r="G8" s="630"/>
      <c r="H8" s="626"/>
      <c r="I8" s="631" t="s">
        <v>650</v>
      </c>
      <c r="J8" s="517"/>
      <c r="K8" s="632" t="s">
        <v>651</v>
      </c>
      <c r="L8" s="509"/>
      <c r="M8" s="1498"/>
      <c r="N8" s="1499"/>
      <c r="O8" s="1500"/>
      <c r="P8" s="509"/>
      <c r="Q8" s="1502"/>
      <c r="R8" s="525"/>
    </row>
    <row r="9" spans="1:18" ht="16.5" thickBot="1">
      <c r="A9" s="1515" t="s">
        <v>652</v>
      </c>
      <c r="B9" s="1516"/>
      <c r="C9" s="1517"/>
      <c r="D9" s="526"/>
      <c r="E9" s="944" t="s">
        <v>653</v>
      </c>
      <c r="F9" s="945" t="s">
        <v>665</v>
      </c>
      <c r="G9" s="946" t="s">
        <v>526</v>
      </c>
      <c r="H9" s="947"/>
      <c r="I9" s="631" t="s">
        <v>526</v>
      </c>
      <c r="J9" s="765"/>
      <c r="K9" s="948" t="s">
        <v>526</v>
      </c>
      <c r="L9" s="509"/>
      <c r="M9" s="949" t="s">
        <v>653</v>
      </c>
      <c r="N9" s="950" t="s">
        <v>665</v>
      </c>
      <c r="O9" s="951" t="s">
        <v>526</v>
      </c>
      <c r="P9" s="509"/>
      <c r="Q9" s="948" t="s">
        <v>526</v>
      </c>
      <c r="R9" s="525"/>
    </row>
    <row r="10" spans="1:18" ht="16.5" thickBot="1">
      <c r="A10" s="1518"/>
      <c r="B10" s="1519"/>
      <c r="C10" s="1520"/>
      <c r="D10" s="526"/>
      <c r="E10" s="952" t="s">
        <v>555</v>
      </c>
      <c r="F10" s="953" t="s">
        <v>555</v>
      </c>
      <c r="G10" s="954" t="s">
        <v>555</v>
      </c>
      <c r="H10" s="626"/>
      <c r="I10" s="955" t="s">
        <v>555</v>
      </c>
      <c r="J10" s="765"/>
      <c r="K10" s="955" t="s">
        <v>555</v>
      </c>
      <c r="L10" s="509"/>
      <c r="M10" s="956" t="s">
        <v>555</v>
      </c>
      <c r="N10" s="957" t="s">
        <v>555</v>
      </c>
      <c r="O10" s="955" t="s">
        <v>555</v>
      </c>
      <c r="P10" s="509"/>
      <c r="Q10" s="955" t="s">
        <v>555</v>
      </c>
      <c r="R10" s="525"/>
    </row>
    <row r="11" spans="1:18" ht="14.25" customHeight="1">
      <c r="A11" s="1521" t="s">
        <v>527</v>
      </c>
      <c r="B11" s="1523" t="s">
        <v>746</v>
      </c>
      <c r="C11" s="1524"/>
      <c r="D11" s="529"/>
      <c r="E11" s="1525">
        <v>0</v>
      </c>
      <c r="F11" s="1513">
        <v>0.349933413523132</v>
      </c>
      <c r="G11" s="1536">
        <f>SUM(E11:F11)</f>
        <v>0.349933413523132</v>
      </c>
      <c r="H11" s="530"/>
      <c r="I11" s="531">
        <v>0.750282044999384</v>
      </c>
      <c r="J11" s="523"/>
      <c r="K11" s="531">
        <v>0.00072266</v>
      </c>
      <c r="L11" s="525"/>
      <c r="M11" s="525"/>
      <c r="N11" s="525"/>
      <c r="O11" s="525"/>
      <c r="P11" s="525"/>
      <c r="Q11" s="525"/>
      <c r="R11" s="525"/>
    </row>
    <row r="12" spans="1:18" ht="14.25">
      <c r="A12" s="1522"/>
      <c r="B12" s="1537" t="s">
        <v>747</v>
      </c>
      <c r="C12" s="1538"/>
      <c r="D12" s="529"/>
      <c r="E12" s="1505"/>
      <c r="F12" s="1514"/>
      <c r="G12" s="1508"/>
      <c r="H12" s="530"/>
      <c r="I12" s="534">
        <v>3.74943644935803</v>
      </c>
      <c r="J12" s="523"/>
      <c r="K12" s="534">
        <v>0</v>
      </c>
      <c r="L12" s="525"/>
      <c r="M12" s="525"/>
      <c r="N12" s="525"/>
      <c r="O12" s="525"/>
      <c r="P12" s="525"/>
      <c r="Q12" s="525"/>
      <c r="R12" s="525"/>
    </row>
    <row r="13" spans="1:18" ht="14.25" customHeight="1">
      <c r="A13" s="1539" t="s">
        <v>598</v>
      </c>
      <c r="B13" s="1542" t="s">
        <v>880</v>
      </c>
      <c r="C13" s="1543"/>
      <c r="D13" s="529"/>
      <c r="E13" s="535">
        <v>0.649328768324596</v>
      </c>
      <c r="F13" s="959">
        <v>0.187121517977807</v>
      </c>
      <c r="G13" s="536">
        <f>SUM(E13:F13)</f>
        <v>0.8364502863024029</v>
      </c>
      <c r="H13" s="530"/>
      <c r="I13" s="534">
        <v>1.09166607072265</v>
      </c>
      <c r="J13" s="523"/>
      <c r="K13" s="534">
        <v>0.7483930894199875</v>
      </c>
      <c r="L13" s="525"/>
      <c r="M13" s="525"/>
      <c r="N13" s="525"/>
      <c r="O13" s="525"/>
      <c r="P13" s="525"/>
      <c r="Q13" s="525"/>
      <c r="R13" s="525"/>
    </row>
    <row r="14" spans="1:18" ht="14.25" customHeight="1">
      <c r="A14" s="1540"/>
      <c r="B14" s="1509" t="s">
        <v>528</v>
      </c>
      <c r="C14" s="1510"/>
      <c r="D14" s="529"/>
      <c r="E14" s="1503">
        <v>0.165155369456998</v>
      </c>
      <c r="F14" s="960">
        <v>0.192573506393558</v>
      </c>
      <c r="G14" s="1506">
        <f>SUM(E14:F14)</f>
        <v>0.357728875850556</v>
      </c>
      <c r="H14" s="530"/>
      <c r="I14" s="534">
        <v>2.69238786758809</v>
      </c>
      <c r="J14" s="523"/>
      <c r="K14" s="534">
        <v>0</v>
      </c>
      <c r="L14" s="525"/>
      <c r="M14" s="525"/>
      <c r="N14" s="525"/>
      <c r="O14" s="525"/>
      <c r="P14" s="525"/>
      <c r="Q14" s="525"/>
      <c r="R14" s="525"/>
    </row>
    <row r="15" spans="1:18" ht="14.25" customHeight="1">
      <c r="A15" s="1540"/>
      <c r="B15" s="1509" t="s">
        <v>529</v>
      </c>
      <c r="C15" s="1510"/>
      <c r="D15" s="529"/>
      <c r="E15" s="1504"/>
      <c r="F15" s="961"/>
      <c r="G15" s="1507"/>
      <c r="H15" s="530"/>
      <c r="I15" s="534">
        <v>6.79634061636888</v>
      </c>
      <c r="J15" s="523"/>
      <c r="K15" s="534">
        <v>0</v>
      </c>
      <c r="L15" s="525"/>
      <c r="M15" s="525"/>
      <c r="N15" s="525"/>
      <c r="O15" s="525"/>
      <c r="P15" s="525"/>
      <c r="Q15" s="525"/>
      <c r="R15" s="525"/>
    </row>
    <row r="16" spans="1:18" ht="15" customHeight="1" thickBot="1">
      <c r="A16" s="1541"/>
      <c r="B16" s="1511" t="s">
        <v>882</v>
      </c>
      <c r="C16" s="1512"/>
      <c r="D16" s="529"/>
      <c r="E16" s="1505"/>
      <c r="F16" s="958"/>
      <c r="G16" s="1508"/>
      <c r="H16" s="530"/>
      <c r="I16" s="537">
        <v>0.192313844854368</v>
      </c>
      <c r="J16" s="523"/>
      <c r="K16" s="537">
        <v>0</v>
      </c>
      <c r="L16" s="525"/>
      <c r="M16" s="525"/>
      <c r="N16" s="525"/>
      <c r="O16" s="525"/>
      <c r="P16" s="525"/>
      <c r="Q16" s="525"/>
      <c r="R16" s="525"/>
    </row>
    <row r="17" spans="1:18" ht="14.25" customHeight="1">
      <c r="A17" s="1544" t="s">
        <v>530</v>
      </c>
      <c r="B17" s="1547" t="s">
        <v>883</v>
      </c>
      <c r="C17" s="1548"/>
      <c r="D17" s="538"/>
      <c r="E17" s="535">
        <v>0.148614981384156</v>
      </c>
      <c r="F17" s="959">
        <v>0.244748362572744</v>
      </c>
      <c r="G17" s="536">
        <f aca="true" t="shared" si="0" ref="G17:G27">SUM(E17:F17)</f>
        <v>0.3933633439569</v>
      </c>
      <c r="H17" s="530"/>
      <c r="I17" s="531">
        <v>1.47726639751246</v>
      </c>
      <c r="J17" s="523"/>
      <c r="K17" s="539">
        <v>0.43748758058001225</v>
      </c>
      <c r="L17" s="525"/>
      <c r="M17" s="525"/>
      <c r="N17" s="525"/>
      <c r="O17" s="525"/>
      <c r="P17" s="525"/>
      <c r="Q17" s="525"/>
      <c r="R17" s="525"/>
    </row>
    <row r="18" spans="1:18" ht="14.25" customHeight="1">
      <c r="A18" s="1545"/>
      <c r="B18" s="1549" t="s">
        <v>768</v>
      </c>
      <c r="C18" s="1550"/>
      <c r="D18" s="540"/>
      <c r="E18" s="552">
        <v>0</v>
      </c>
      <c r="F18" s="962">
        <v>0.04290022969036915</v>
      </c>
      <c r="G18" s="541">
        <f t="shared" si="0"/>
        <v>0.04290022969036915</v>
      </c>
      <c r="H18" s="530"/>
      <c r="I18" s="534">
        <v>3.801904461431062</v>
      </c>
      <c r="J18" s="523"/>
      <c r="K18" s="534">
        <v>0</v>
      </c>
      <c r="L18" s="525"/>
      <c r="M18" s="525"/>
      <c r="N18" s="525"/>
      <c r="O18" s="525"/>
      <c r="P18" s="525"/>
      <c r="Q18" s="525"/>
      <c r="R18" s="525"/>
    </row>
    <row r="19" spans="1:18" ht="15" customHeight="1" thickBot="1">
      <c r="A19" s="1546"/>
      <c r="B19" s="1530" t="s">
        <v>359</v>
      </c>
      <c r="C19" s="1531"/>
      <c r="D19" s="538"/>
      <c r="E19" s="963">
        <v>0.457189468543543</v>
      </c>
      <c r="F19" s="964">
        <v>4.82686102791765</v>
      </c>
      <c r="G19" s="544">
        <f t="shared" si="0"/>
        <v>5.284050496461193</v>
      </c>
      <c r="H19" s="530"/>
      <c r="I19" s="537">
        <v>0.5823446694538564</v>
      </c>
      <c r="J19" s="523"/>
      <c r="K19" s="545">
        <v>0</v>
      </c>
      <c r="L19" s="525"/>
      <c r="M19" s="525"/>
      <c r="N19" s="525"/>
      <c r="O19" s="525"/>
      <c r="P19" s="525"/>
      <c r="Q19" s="525"/>
      <c r="R19" s="525"/>
    </row>
    <row r="20" spans="1:18" ht="14.25" customHeight="1">
      <c r="A20" s="1551" t="s">
        <v>815</v>
      </c>
      <c r="B20" s="1553" t="s">
        <v>883</v>
      </c>
      <c r="C20" s="1554"/>
      <c r="D20" s="538"/>
      <c r="E20" s="551">
        <v>0</v>
      </c>
      <c r="F20" s="965">
        <v>0</v>
      </c>
      <c r="G20" s="546">
        <f t="shared" si="0"/>
        <v>0</v>
      </c>
      <c r="H20" s="530"/>
      <c r="I20" s="531">
        <v>0.10286285655124124</v>
      </c>
      <c r="J20" s="523"/>
      <c r="K20" s="531">
        <v>0.0026301700000000003</v>
      </c>
      <c r="L20" s="525"/>
      <c r="M20" s="525"/>
      <c r="N20" s="525"/>
      <c r="O20" s="525"/>
      <c r="P20" s="525"/>
      <c r="Q20" s="525"/>
      <c r="R20" s="525"/>
    </row>
    <row r="21" spans="1:18" ht="14.25" customHeight="1">
      <c r="A21" s="1544"/>
      <c r="B21" s="532" t="s">
        <v>364</v>
      </c>
      <c r="C21" s="547"/>
      <c r="D21" s="548"/>
      <c r="E21" s="535">
        <v>0</v>
      </c>
      <c r="F21" s="959">
        <v>0</v>
      </c>
      <c r="G21" s="536">
        <f t="shared" si="0"/>
        <v>0</v>
      </c>
      <c r="H21" s="530"/>
      <c r="I21" s="539">
        <v>1.0527538188574297</v>
      </c>
      <c r="J21" s="523"/>
      <c r="K21" s="539">
        <v>0</v>
      </c>
      <c r="L21" s="525"/>
      <c r="M21" s="525"/>
      <c r="N21" s="525"/>
      <c r="O21" s="525"/>
      <c r="P21" s="525"/>
      <c r="Q21" s="525"/>
      <c r="R21" s="525"/>
    </row>
    <row r="22" spans="1:18" ht="14.25" customHeight="1">
      <c r="A22" s="1545"/>
      <c r="B22" s="532" t="s">
        <v>365</v>
      </c>
      <c r="C22" s="547"/>
      <c r="D22" s="548"/>
      <c r="E22" s="552">
        <v>0</v>
      </c>
      <c r="F22" s="962">
        <v>0</v>
      </c>
      <c r="G22" s="541">
        <f t="shared" si="0"/>
        <v>0</v>
      </c>
      <c r="H22" s="530"/>
      <c r="I22" s="534">
        <v>0.6660467517018261</v>
      </c>
      <c r="J22" s="523"/>
      <c r="K22" s="534">
        <v>0</v>
      </c>
      <c r="L22" s="525"/>
      <c r="M22" s="525"/>
      <c r="N22" s="525"/>
      <c r="O22" s="525"/>
      <c r="P22" s="525"/>
      <c r="Q22" s="525"/>
      <c r="R22" s="525"/>
    </row>
    <row r="23" spans="1:18" ht="15" customHeight="1" thickBot="1">
      <c r="A23" s="1552"/>
      <c r="B23" s="1530" t="s">
        <v>359</v>
      </c>
      <c r="C23" s="1531"/>
      <c r="D23" s="548"/>
      <c r="E23" s="542">
        <v>0.0002418473750856375</v>
      </c>
      <c r="F23" s="543">
        <v>0.2212328773344254</v>
      </c>
      <c r="G23" s="549">
        <f t="shared" si="0"/>
        <v>0.22147472470951104</v>
      </c>
      <c r="H23" s="530"/>
      <c r="I23" s="537">
        <v>0</v>
      </c>
      <c r="J23" s="523"/>
      <c r="K23" s="537">
        <v>0</v>
      </c>
      <c r="L23" s="525"/>
      <c r="M23" s="525"/>
      <c r="N23" s="525"/>
      <c r="O23" s="525"/>
      <c r="P23" s="525"/>
      <c r="Q23" s="525"/>
      <c r="R23" s="525"/>
    </row>
    <row r="24" spans="1:18" ht="14.25" customHeight="1">
      <c r="A24" s="1526" t="s">
        <v>813</v>
      </c>
      <c r="B24" s="1528" t="s">
        <v>883</v>
      </c>
      <c r="C24" s="1529"/>
      <c r="D24" s="550"/>
      <c r="E24" s="551">
        <v>0.24942627845677406</v>
      </c>
      <c r="F24" s="966">
        <v>0.003227971265334071</v>
      </c>
      <c r="G24" s="536">
        <f t="shared" si="0"/>
        <v>0.25265424972210815</v>
      </c>
      <c r="H24" s="530"/>
      <c r="I24" s="539">
        <v>0.004692615067373954</v>
      </c>
      <c r="J24" s="523"/>
      <c r="K24" s="539">
        <v>0</v>
      </c>
      <c r="L24" s="525"/>
      <c r="M24" s="551">
        <v>0</v>
      </c>
      <c r="N24" s="965">
        <v>0</v>
      </c>
      <c r="O24" s="546">
        <f>SUM(M24:N24)</f>
        <v>0</v>
      </c>
      <c r="P24" s="525"/>
      <c r="Q24" s="531">
        <v>0</v>
      </c>
      <c r="R24" s="525"/>
    </row>
    <row r="25" spans="1:18" ht="14.25" customHeight="1">
      <c r="A25" s="1527"/>
      <c r="B25" s="532" t="s">
        <v>364</v>
      </c>
      <c r="C25" s="533"/>
      <c r="D25" s="548"/>
      <c r="E25" s="552">
        <v>0.33499169835022374</v>
      </c>
      <c r="F25" s="967">
        <v>0</v>
      </c>
      <c r="G25" s="541">
        <f t="shared" si="0"/>
        <v>0.33499169835022374</v>
      </c>
      <c r="H25" s="530"/>
      <c r="I25" s="534">
        <v>0.6878135759998638</v>
      </c>
      <c r="J25" s="523"/>
      <c r="K25" s="534">
        <v>0</v>
      </c>
      <c r="L25" s="525"/>
      <c r="M25" s="552">
        <v>0</v>
      </c>
      <c r="N25" s="962">
        <v>0</v>
      </c>
      <c r="O25" s="541">
        <f>SUM(M25:N25)</f>
        <v>0</v>
      </c>
      <c r="P25" s="525"/>
      <c r="Q25" s="534">
        <v>0</v>
      </c>
      <c r="R25" s="525"/>
    </row>
    <row r="26" spans="1:18" ht="14.25" customHeight="1">
      <c r="A26" s="1527"/>
      <c r="B26" s="532" t="s">
        <v>365</v>
      </c>
      <c r="C26" s="533"/>
      <c r="D26" s="548"/>
      <c r="E26" s="552">
        <v>0</v>
      </c>
      <c r="F26" s="967">
        <v>0</v>
      </c>
      <c r="G26" s="541">
        <f t="shared" si="0"/>
        <v>0</v>
      </c>
      <c r="H26" s="530"/>
      <c r="I26" s="534">
        <v>0</v>
      </c>
      <c r="J26" s="523"/>
      <c r="K26" s="534">
        <v>0</v>
      </c>
      <c r="L26" s="525"/>
      <c r="M26" s="552">
        <v>0</v>
      </c>
      <c r="N26" s="962">
        <v>0</v>
      </c>
      <c r="O26" s="541">
        <f>SUM(M26:N26)</f>
        <v>0</v>
      </c>
      <c r="P26" s="525"/>
      <c r="Q26" s="534">
        <v>0</v>
      </c>
      <c r="R26" s="525"/>
    </row>
    <row r="27" spans="1:18" ht="15" customHeight="1" thickBot="1">
      <c r="A27" s="1527"/>
      <c r="B27" s="1530" t="s">
        <v>359</v>
      </c>
      <c r="C27" s="1531"/>
      <c r="D27" s="548"/>
      <c r="E27" s="963">
        <v>0.09396469199244717</v>
      </c>
      <c r="F27" s="968">
        <v>1.801134499467956</v>
      </c>
      <c r="G27" s="544">
        <f t="shared" si="0"/>
        <v>1.8950991914604032</v>
      </c>
      <c r="H27" s="530"/>
      <c r="I27" s="545">
        <v>0.20076310582399742</v>
      </c>
      <c r="J27" s="523"/>
      <c r="K27" s="545">
        <v>0</v>
      </c>
      <c r="L27" s="525"/>
      <c r="M27" s="542">
        <v>0</v>
      </c>
      <c r="N27" s="543">
        <v>0</v>
      </c>
      <c r="O27" s="549">
        <f>SUM(M27:N27)</f>
        <v>0</v>
      </c>
      <c r="P27" s="525"/>
      <c r="Q27" s="537">
        <v>0</v>
      </c>
      <c r="R27" s="525"/>
    </row>
    <row r="28" spans="1:18" ht="15" customHeight="1" thickBot="1">
      <c r="A28" s="1532" t="s">
        <v>366</v>
      </c>
      <c r="B28" s="1533"/>
      <c r="C28" s="553"/>
      <c r="D28" s="548"/>
      <c r="E28" s="556">
        <v>0</v>
      </c>
      <c r="F28" s="969">
        <v>0</v>
      </c>
      <c r="G28" s="554">
        <f>SUM(E28:F28)</f>
        <v>0</v>
      </c>
      <c r="H28" s="530"/>
      <c r="I28" s="555">
        <v>0</v>
      </c>
      <c r="J28" s="523"/>
      <c r="K28" s="555">
        <v>0</v>
      </c>
      <c r="L28" s="525"/>
      <c r="M28" s="556">
        <v>0</v>
      </c>
      <c r="N28" s="969">
        <v>0</v>
      </c>
      <c r="O28" s="554">
        <f>SUM(M28:N28)</f>
        <v>0</v>
      </c>
      <c r="P28" s="525"/>
      <c r="Q28" s="555">
        <v>0</v>
      </c>
      <c r="R28" s="525"/>
    </row>
    <row r="29" spans="1:18" ht="15.75" customHeight="1" thickBot="1">
      <c r="A29" s="1532" t="s">
        <v>508</v>
      </c>
      <c r="B29" s="1534"/>
      <c r="C29" s="1535"/>
      <c r="D29" s="557"/>
      <c r="E29" s="558"/>
      <c r="F29" s="559"/>
      <c r="G29" s="560"/>
      <c r="H29" s="561"/>
      <c r="I29" s="562">
        <v>1.526386718818696</v>
      </c>
      <c r="J29" s="523"/>
      <c r="K29" s="562">
        <v>0</v>
      </c>
      <c r="L29" s="563"/>
      <c r="M29" s="564"/>
      <c r="N29" s="565"/>
      <c r="O29" s="560"/>
      <c r="P29" s="563"/>
      <c r="Q29" s="566"/>
      <c r="R29" s="563"/>
    </row>
    <row r="30" spans="1:18" ht="15.75" customHeight="1" thickBot="1">
      <c r="A30" s="1532" t="s">
        <v>531</v>
      </c>
      <c r="B30" s="1534"/>
      <c r="C30" s="1535"/>
      <c r="D30" s="557"/>
      <c r="E30" s="558"/>
      <c r="F30" s="970">
        <v>0</v>
      </c>
      <c r="G30" s="544">
        <f>SUM(E30:F30)</f>
        <v>0</v>
      </c>
      <c r="H30" s="561"/>
      <c r="I30" s="567"/>
      <c r="J30" s="523"/>
      <c r="K30" s="568"/>
      <c r="L30" s="563"/>
      <c r="M30" s="558"/>
      <c r="N30" s="559"/>
      <c r="O30" s="560"/>
      <c r="P30" s="563"/>
      <c r="Q30" s="569"/>
      <c r="R30" s="563"/>
    </row>
    <row r="31" spans="1:18" ht="15.75" customHeight="1" thickBot="1">
      <c r="A31" s="1532" t="s">
        <v>532</v>
      </c>
      <c r="B31" s="1534"/>
      <c r="C31" s="1535"/>
      <c r="D31" s="557"/>
      <c r="E31" s="558"/>
      <c r="F31" s="970">
        <v>0</v>
      </c>
      <c r="G31" s="554">
        <f>SUM(E31:F31)</f>
        <v>0</v>
      </c>
      <c r="H31" s="561"/>
      <c r="I31" s="567"/>
      <c r="J31" s="523"/>
      <c r="K31" s="568"/>
      <c r="L31" s="563"/>
      <c r="M31" s="558"/>
      <c r="N31" s="559"/>
      <c r="O31" s="560"/>
      <c r="P31" s="563"/>
      <c r="Q31" s="569"/>
      <c r="R31" s="563"/>
    </row>
    <row r="32" spans="1:18" ht="15.75" customHeight="1" thickBot="1">
      <c r="A32" s="1532" t="s">
        <v>533</v>
      </c>
      <c r="B32" s="1534"/>
      <c r="C32" s="1535"/>
      <c r="D32" s="557"/>
      <c r="E32" s="558"/>
      <c r="F32" s="559"/>
      <c r="G32" s="560"/>
      <c r="H32" s="561"/>
      <c r="I32" s="562">
        <v>-2.29746693</v>
      </c>
      <c r="J32" s="523"/>
      <c r="K32" s="568"/>
      <c r="L32" s="563"/>
      <c r="M32" s="558"/>
      <c r="N32" s="559"/>
      <c r="O32" s="560"/>
      <c r="P32" s="563"/>
      <c r="Q32" s="569"/>
      <c r="R32" s="563"/>
    </row>
    <row r="33" spans="1:18" ht="15.75" customHeight="1" thickBot="1">
      <c r="A33" s="1532" t="s">
        <v>534</v>
      </c>
      <c r="B33" s="1534"/>
      <c r="C33" s="1535"/>
      <c r="D33" s="557"/>
      <c r="E33" s="558"/>
      <c r="F33" s="971">
        <v>1.714738</v>
      </c>
      <c r="G33" s="554">
        <f>SUM(E33:F33)</f>
        <v>1.714738</v>
      </c>
      <c r="H33" s="561"/>
      <c r="I33" s="568"/>
      <c r="J33" s="523"/>
      <c r="K33" s="568"/>
      <c r="L33" s="563"/>
      <c r="M33" s="558"/>
      <c r="N33" s="559"/>
      <c r="O33" s="560"/>
      <c r="P33" s="563"/>
      <c r="Q33" s="569"/>
      <c r="R33" s="563"/>
    </row>
    <row r="34" spans="1:18" ht="15.75" thickBot="1">
      <c r="A34" s="570" t="s">
        <v>816</v>
      </c>
      <c r="B34" s="571"/>
      <c r="C34" s="572"/>
      <c r="D34" s="573"/>
      <c r="E34" s="574">
        <f>SUM(E11:E33)</f>
        <v>2.0989131038838234</v>
      </c>
      <c r="F34" s="574">
        <f>SUM(F11:F33)</f>
        <v>9.584471406142974</v>
      </c>
      <c r="G34" s="574">
        <f>SUM(G11:G33)</f>
        <v>11.6833845100268</v>
      </c>
      <c r="H34" s="575"/>
      <c r="I34" s="574">
        <f>SUM(I11:I33)</f>
        <v>23.07779493510921</v>
      </c>
      <c r="J34" s="573"/>
      <c r="K34" s="574">
        <f>SUM(K11:K33)</f>
        <v>1.1892334999999996</v>
      </c>
      <c r="L34" s="576"/>
      <c r="M34" s="574">
        <f>SUM(M11:M31)</f>
        <v>0</v>
      </c>
      <c r="N34" s="574">
        <f>SUM(N11:N31)</f>
        <v>0</v>
      </c>
      <c r="O34" s="574">
        <f>SUM(O11:O31)</f>
        <v>0</v>
      </c>
      <c r="P34" s="576"/>
      <c r="Q34" s="574">
        <f>SUM(Q11:Q31)</f>
        <v>0</v>
      </c>
      <c r="R34" s="576"/>
    </row>
    <row r="35" spans="1:18" ht="15" thickBot="1">
      <c r="A35" s="525"/>
      <c r="B35" s="525"/>
      <c r="C35" s="525"/>
      <c r="D35" s="577"/>
      <c r="E35" s="525"/>
      <c r="F35" s="525"/>
      <c r="G35" s="578"/>
      <c r="H35" s="525"/>
      <c r="I35" s="578"/>
      <c r="J35" s="509"/>
      <c r="K35" s="578"/>
      <c r="L35" s="525"/>
      <c r="M35" s="525"/>
      <c r="N35" s="525"/>
      <c r="O35" s="525"/>
      <c r="P35" s="525"/>
      <c r="Q35" s="525"/>
      <c r="R35" s="525"/>
    </row>
    <row r="36" spans="1:18" ht="16.5" thickBot="1">
      <c r="A36" s="579"/>
      <c r="B36" s="579"/>
      <c r="C36" s="580"/>
      <c r="D36" s="581"/>
      <c r="E36" s="582" t="s">
        <v>522</v>
      </c>
      <c r="F36" s="583"/>
      <c r="G36" s="583"/>
      <c r="H36" s="583"/>
      <c r="I36" s="528" t="s">
        <v>650</v>
      </c>
      <c r="J36" s="573"/>
      <c r="K36" s="524" t="s">
        <v>651</v>
      </c>
      <c r="L36" s="584"/>
      <c r="M36" s="576"/>
      <c r="N36" s="576"/>
      <c r="O36" s="576"/>
      <c r="P36" s="576"/>
      <c r="Q36" s="576"/>
      <c r="R36" s="576"/>
    </row>
    <row r="37" spans="1:18" ht="15.75" thickBot="1">
      <c r="A37" s="576"/>
      <c r="B37" s="584"/>
      <c r="C37" s="584"/>
      <c r="D37" s="584"/>
      <c r="E37" s="585"/>
      <c r="F37" s="583"/>
      <c r="G37" s="583"/>
      <c r="H37" s="586"/>
      <c r="I37" s="527" t="s">
        <v>555</v>
      </c>
      <c r="J37" s="573"/>
      <c r="K37" s="528" t="s">
        <v>555</v>
      </c>
      <c r="L37" s="576"/>
      <c r="M37" s="576"/>
      <c r="N37" s="576"/>
      <c r="O37" s="576"/>
      <c r="P37" s="576"/>
      <c r="Q37" s="576"/>
      <c r="R37" s="576"/>
    </row>
    <row r="38" spans="1:18" ht="14.25">
      <c r="A38" s="525"/>
      <c r="B38" s="577"/>
      <c r="C38" s="577"/>
      <c r="D38" s="577"/>
      <c r="E38" s="587" t="s">
        <v>523</v>
      </c>
      <c r="F38" s="588"/>
      <c r="G38" s="588"/>
      <c r="H38" s="589"/>
      <c r="I38" s="590">
        <v>6.285885168155873</v>
      </c>
      <c r="J38" s="523"/>
      <c r="K38" s="539">
        <v>1.1892334999999996</v>
      </c>
      <c r="L38" s="525"/>
      <c r="M38" s="525"/>
      <c r="N38" s="525"/>
      <c r="O38" s="525"/>
      <c r="P38" s="525"/>
      <c r="Q38" s="525"/>
      <c r="R38" s="525"/>
    </row>
    <row r="39" spans="1:18" ht="15" thickBot="1">
      <c r="A39" s="525"/>
      <c r="B39" s="577"/>
      <c r="C39" s="577"/>
      <c r="D39" s="577"/>
      <c r="E39" s="591" t="s">
        <v>524</v>
      </c>
      <c r="F39" s="592"/>
      <c r="G39" s="592"/>
      <c r="H39" s="593"/>
      <c r="I39" s="594">
        <v>16.791909766953342</v>
      </c>
      <c r="J39" s="523"/>
      <c r="K39" s="539">
        <v>0</v>
      </c>
      <c r="L39" s="525"/>
      <c r="M39" s="525"/>
      <c r="N39" s="525"/>
      <c r="O39" s="525"/>
      <c r="P39" s="525"/>
      <c r="Q39" s="525"/>
      <c r="R39" s="525"/>
    </row>
    <row r="40" spans="1:18" ht="16.5" thickBot="1">
      <c r="A40" s="525"/>
      <c r="B40" s="573"/>
      <c r="C40" s="573"/>
      <c r="D40" s="573"/>
      <c r="E40" s="595" t="s">
        <v>525</v>
      </c>
      <c r="F40" s="596"/>
      <c r="G40" s="596"/>
      <c r="H40" s="597"/>
      <c r="I40" s="554">
        <v>23.077794935109214</v>
      </c>
      <c r="J40" s="523"/>
      <c r="K40" s="554">
        <v>1.1892334999999996</v>
      </c>
      <c r="L40" s="525"/>
      <c r="M40" s="525"/>
      <c r="N40" s="525"/>
      <c r="O40" s="525"/>
      <c r="P40" s="525"/>
      <c r="Q40" s="525"/>
      <c r="R40" s="525"/>
    </row>
    <row r="41" spans="1:18" ht="15" thickBot="1">
      <c r="A41" s="525"/>
      <c r="B41" s="525"/>
      <c r="C41" s="525"/>
      <c r="D41" s="577"/>
      <c r="E41" s="525"/>
      <c r="F41" s="525"/>
      <c r="G41" s="525"/>
      <c r="H41" s="525"/>
      <c r="I41" s="578"/>
      <c r="J41" s="498"/>
      <c r="K41" s="578"/>
      <c r="L41" s="525"/>
      <c r="M41" s="525"/>
      <c r="N41" s="525"/>
      <c r="O41" s="525"/>
      <c r="P41" s="525"/>
      <c r="Q41" s="525"/>
      <c r="R41" s="525"/>
    </row>
    <row r="42" spans="1:18" ht="20.25">
      <c r="A42" s="509"/>
      <c r="B42" s="522"/>
      <c r="C42" s="1555" t="s">
        <v>766</v>
      </c>
      <c r="D42" s="598"/>
      <c r="E42" s="598"/>
      <c r="F42" s="599"/>
      <c r="G42" s="600"/>
      <c r="H42" s="523"/>
      <c r="I42" s="509"/>
      <c r="J42" s="509"/>
      <c r="K42" s="509"/>
      <c r="L42" s="509"/>
      <c r="M42" s="1557" t="s">
        <v>766</v>
      </c>
      <c r="N42" s="1558"/>
      <c r="O42" s="601"/>
      <c r="P42" s="509"/>
      <c r="Q42" s="509"/>
      <c r="R42" s="509"/>
    </row>
    <row r="43" spans="1:18" ht="21" thickBot="1">
      <c r="A43" s="509"/>
      <c r="B43" s="522"/>
      <c r="C43" s="1556"/>
      <c r="D43" s="602"/>
      <c r="E43" s="602"/>
      <c r="F43" s="603"/>
      <c r="G43" s="604" t="s">
        <v>555</v>
      </c>
      <c r="H43" s="523"/>
      <c r="I43" s="509"/>
      <c r="J43" s="509"/>
      <c r="K43" s="509"/>
      <c r="L43" s="509"/>
      <c r="M43" s="1559"/>
      <c r="N43" s="1560"/>
      <c r="O43" s="527" t="s">
        <v>555</v>
      </c>
      <c r="P43" s="509"/>
      <c r="Q43" s="509"/>
      <c r="R43" s="509"/>
    </row>
    <row r="44" spans="1:18" ht="15" thickBot="1">
      <c r="A44" s="509"/>
      <c r="B44" s="605"/>
      <c r="C44" s="606" t="s">
        <v>695</v>
      </c>
      <c r="D44" s="607"/>
      <c r="E44" s="607"/>
      <c r="F44" s="608"/>
      <c r="G44" s="590">
        <v>3.1008321843072717</v>
      </c>
      <c r="H44" s="523"/>
      <c r="I44" s="509"/>
      <c r="J44" s="509"/>
      <c r="K44" s="509"/>
      <c r="L44" s="509"/>
      <c r="M44" s="609" t="s">
        <v>813</v>
      </c>
      <c r="N44" s="610"/>
      <c r="O44" s="556">
        <v>0</v>
      </c>
      <c r="P44" s="509"/>
      <c r="Q44" s="509"/>
      <c r="R44" s="509"/>
    </row>
    <row r="45" spans="1:18" ht="14.25">
      <c r="A45" s="509"/>
      <c r="B45" s="605"/>
      <c r="C45" s="611" t="s">
        <v>694</v>
      </c>
      <c r="D45" s="612"/>
      <c r="E45" s="612"/>
      <c r="F45" s="613"/>
      <c r="G45" s="590">
        <v>5.282047541853278</v>
      </c>
      <c r="H45" s="523"/>
      <c r="I45" s="509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1:18" ht="14.25">
      <c r="A46" s="509"/>
      <c r="B46" s="605"/>
      <c r="C46" s="611" t="s">
        <v>815</v>
      </c>
      <c r="D46" s="612"/>
      <c r="E46" s="612"/>
      <c r="F46" s="613"/>
      <c r="G46" s="590">
        <v>0.3144897801804051</v>
      </c>
      <c r="H46" s="523"/>
      <c r="I46" s="509"/>
      <c r="J46" s="509"/>
      <c r="K46" s="509"/>
      <c r="L46" s="509"/>
      <c r="M46" s="509"/>
      <c r="N46" s="509"/>
      <c r="O46" s="509"/>
      <c r="P46" s="509"/>
      <c r="Q46" s="509"/>
      <c r="R46" s="509"/>
    </row>
    <row r="47" spans="1:18" ht="15" thickBot="1">
      <c r="A47" s="509"/>
      <c r="B47" s="605"/>
      <c r="C47" s="614" t="s">
        <v>813</v>
      </c>
      <c r="D47" s="615"/>
      <c r="E47" s="615"/>
      <c r="F47" s="616"/>
      <c r="G47" s="590">
        <v>0.2267715736590444</v>
      </c>
      <c r="H47" s="523"/>
      <c r="I47" s="509"/>
      <c r="J47" s="509"/>
      <c r="K47" s="509"/>
      <c r="L47" s="509"/>
      <c r="M47" s="509"/>
      <c r="N47" s="509"/>
      <c r="O47" s="509"/>
      <c r="P47" s="509"/>
      <c r="Q47" s="509"/>
      <c r="R47" s="509"/>
    </row>
    <row r="48" spans="1:18" ht="15.75" thickBot="1">
      <c r="A48" s="509"/>
      <c r="B48" s="617"/>
      <c r="C48" s="618" t="s">
        <v>542</v>
      </c>
      <c r="D48" s="619"/>
      <c r="E48" s="619"/>
      <c r="F48" s="620"/>
      <c r="G48" s="621">
        <v>8.92414108</v>
      </c>
      <c r="H48" s="523"/>
      <c r="I48" s="509"/>
      <c r="J48" s="509"/>
      <c r="K48" s="509"/>
      <c r="L48" s="509"/>
      <c r="M48" s="509"/>
      <c r="N48" s="509"/>
      <c r="O48" s="509"/>
      <c r="P48" s="509"/>
      <c r="Q48" s="509"/>
      <c r="R48" s="509"/>
    </row>
    <row r="49" spans="1:18" ht="15">
      <c r="A49" s="622"/>
      <c r="B49" s="622"/>
      <c r="C49" s="622"/>
      <c r="D49" s="622"/>
      <c r="E49" s="622"/>
      <c r="F49" s="622"/>
      <c r="G49" s="578"/>
      <c r="H49" s="623"/>
      <c r="I49" s="624"/>
      <c r="J49" s="624"/>
      <c r="K49" s="624"/>
      <c r="L49" s="625"/>
      <c r="M49" s="525"/>
      <c r="N49" s="525"/>
      <c r="O49" s="525"/>
      <c r="P49" s="525"/>
      <c r="Q49" s="525"/>
      <c r="R49" s="525"/>
    </row>
  </sheetData>
  <sheetProtection/>
  <mergeCells count="37">
    <mergeCell ref="A31:C31"/>
    <mergeCell ref="A32:C32"/>
    <mergeCell ref="A33:C33"/>
    <mergeCell ref="C42:C43"/>
    <mergeCell ref="M42:N43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B28"/>
    <mergeCell ref="A29:C29"/>
    <mergeCell ref="G11:G12"/>
    <mergeCell ref="B12:C12"/>
    <mergeCell ref="A13:A16"/>
    <mergeCell ref="B13:C13"/>
    <mergeCell ref="B14:C14"/>
    <mergeCell ref="B15:C15"/>
    <mergeCell ref="B16:C16"/>
    <mergeCell ref="F11:F12"/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E14:E16"/>
    <mergeCell ref="G14:G16"/>
  </mergeCells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916" t="s">
        <v>662</v>
      </c>
      <c r="E1" s="911" t="s">
        <v>795</v>
      </c>
    </row>
    <row r="2" ht="12.75">
      <c r="A2" s="916"/>
    </row>
    <row r="3" ht="12.75">
      <c r="A3" s="916" t="s">
        <v>535</v>
      </c>
    </row>
    <row r="5" spans="1:14" ht="20.25">
      <c r="A5" s="518" t="s">
        <v>738</v>
      </c>
      <c r="B5" s="519"/>
      <c r="C5" s="519"/>
      <c r="D5" s="520"/>
      <c r="E5" s="519"/>
      <c r="F5" s="519"/>
      <c r="G5" s="519"/>
      <c r="H5" s="519"/>
      <c r="I5" s="519"/>
      <c r="J5" s="519"/>
      <c r="K5" s="519"/>
      <c r="L5" s="519"/>
      <c r="M5" s="633"/>
      <c r="N5" s="633"/>
    </row>
    <row r="6" spans="1:14" ht="21" thickBot="1">
      <c r="A6" s="518"/>
      <c r="B6" s="519"/>
      <c r="C6" s="519"/>
      <c r="D6" s="520"/>
      <c r="E6" s="519"/>
      <c r="F6" s="519"/>
      <c r="G6" s="519"/>
      <c r="H6" s="519"/>
      <c r="I6" s="519"/>
      <c r="J6" s="519"/>
      <c r="K6" s="519"/>
      <c r="L6" s="519"/>
      <c r="M6" s="633"/>
      <c r="N6" s="633"/>
    </row>
    <row r="7" spans="1:14" ht="18.75" thickBot="1">
      <c r="A7" s="525"/>
      <c r="B7" s="525"/>
      <c r="C7" s="634" t="s">
        <v>727</v>
      </c>
      <c r="D7" s="635"/>
      <c r="E7" s="635"/>
      <c r="F7" s="635"/>
      <c r="G7" s="635"/>
      <c r="H7" s="635"/>
      <c r="I7" s="635"/>
      <c r="J7" s="635"/>
      <c r="K7" s="635"/>
      <c r="L7" s="636"/>
      <c r="M7" s="525"/>
      <c r="N7" s="525"/>
    </row>
    <row r="8" spans="1:14" ht="98.25" customHeight="1" thickBot="1">
      <c r="A8" s="525"/>
      <c r="B8" s="525"/>
      <c r="C8" s="637" t="s">
        <v>728</v>
      </c>
      <c r="D8" s="638"/>
      <c r="E8" s="639" t="s">
        <v>729</v>
      </c>
      <c r="F8" s="640" t="s">
        <v>730</v>
      </c>
      <c r="G8" s="640" t="s">
        <v>731</v>
      </c>
      <c r="H8" s="641" t="s">
        <v>557</v>
      </c>
      <c r="I8" s="640" t="s">
        <v>558</v>
      </c>
      <c r="J8" s="642" t="s">
        <v>661</v>
      </c>
      <c r="K8" s="643" t="s">
        <v>430</v>
      </c>
      <c r="L8" s="644" t="s">
        <v>816</v>
      </c>
      <c r="M8" s="525"/>
      <c r="N8" s="525"/>
    </row>
    <row r="9" spans="1:14" ht="15.75" thickBot="1">
      <c r="A9" s="525"/>
      <c r="B9" s="525"/>
      <c r="C9" s="645"/>
      <c r="D9" s="646"/>
      <c r="E9" s="647" t="s">
        <v>555</v>
      </c>
      <c r="F9" s="648" t="s">
        <v>555</v>
      </c>
      <c r="G9" s="648" t="s">
        <v>555</v>
      </c>
      <c r="H9" s="647" t="s">
        <v>555</v>
      </c>
      <c r="I9" s="648" t="s">
        <v>555</v>
      </c>
      <c r="J9" s="648" t="s">
        <v>555</v>
      </c>
      <c r="K9" s="649" t="s">
        <v>555</v>
      </c>
      <c r="L9" s="650" t="s">
        <v>555</v>
      </c>
      <c r="M9" s="525"/>
      <c r="N9" s="525"/>
    </row>
    <row r="10" spans="1:14" ht="15">
      <c r="A10" s="525"/>
      <c r="B10" s="525"/>
      <c r="C10" s="651" t="s">
        <v>433</v>
      </c>
      <c r="D10" s="638"/>
      <c r="E10" s="652"/>
      <c r="F10" s="653"/>
      <c r="G10" s="653"/>
      <c r="H10" s="652"/>
      <c r="I10" s="653"/>
      <c r="J10" s="654"/>
      <c r="K10" s="654"/>
      <c r="L10" s="655">
        <v>0</v>
      </c>
      <c r="M10" s="525"/>
      <c r="N10" s="525"/>
    </row>
    <row r="11" spans="1:14" ht="14.25">
      <c r="A11" s="525"/>
      <c r="B11" s="525"/>
      <c r="C11" s="1561" t="s">
        <v>434</v>
      </c>
      <c r="D11" s="1562"/>
      <c r="E11" s="656">
        <v>30.64</v>
      </c>
      <c r="F11" s="656">
        <v>0</v>
      </c>
      <c r="G11" s="656">
        <v>0</v>
      </c>
      <c r="H11" s="656">
        <v>6.24</v>
      </c>
      <c r="I11" s="657"/>
      <c r="J11" s="658"/>
      <c r="K11" s="659"/>
      <c r="L11" s="660">
        <v>36.88</v>
      </c>
      <c r="M11" s="525"/>
      <c r="N11" s="525"/>
    </row>
    <row r="12" spans="1:14" ht="14.25">
      <c r="A12" s="525"/>
      <c r="B12" s="525"/>
      <c r="C12" s="1561" t="s">
        <v>435</v>
      </c>
      <c r="D12" s="1562"/>
      <c r="E12" s="656">
        <v>5.54</v>
      </c>
      <c r="F12" s="656">
        <v>0</v>
      </c>
      <c r="G12" s="656">
        <v>0</v>
      </c>
      <c r="H12" s="656">
        <v>1.74</v>
      </c>
      <c r="I12" s="657"/>
      <c r="J12" s="658"/>
      <c r="K12" s="659"/>
      <c r="L12" s="660">
        <v>7.28</v>
      </c>
      <c r="M12" s="525"/>
      <c r="N12" s="525"/>
    </row>
    <row r="13" spans="1:14" ht="14.25">
      <c r="A13" s="525"/>
      <c r="B13" s="525"/>
      <c r="C13" s="1561" t="s">
        <v>595</v>
      </c>
      <c r="D13" s="1562"/>
      <c r="E13" s="656">
        <v>0.00029520820421511697</v>
      </c>
      <c r="F13" s="656">
        <v>0</v>
      </c>
      <c r="G13" s="656">
        <v>0</v>
      </c>
      <c r="H13" s="656">
        <v>0.022740721737946355</v>
      </c>
      <c r="I13" s="657"/>
      <c r="J13" s="658"/>
      <c r="K13" s="659"/>
      <c r="L13" s="660">
        <v>0.02303592994216147</v>
      </c>
      <c r="M13" s="525"/>
      <c r="N13" s="525"/>
    </row>
    <row r="14" spans="1:14" ht="14.25">
      <c r="A14" s="525"/>
      <c r="B14" s="525"/>
      <c r="C14" s="1561" t="s">
        <v>447</v>
      </c>
      <c r="D14" s="1562"/>
      <c r="E14" s="656">
        <v>0</v>
      </c>
      <c r="F14" s="656">
        <v>0</v>
      </c>
      <c r="G14" s="656">
        <v>0</v>
      </c>
      <c r="H14" s="656">
        <v>0</v>
      </c>
      <c r="I14" s="657"/>
      <c r="J14" s="658"/>
      <c r="K14" s="659"/>
      <c r="L14" s="660">
        <v>0</v>
      </c>
      <c r="M14" s="525"/>
      <c r="N14" s="525"/>
    </row>
    <row r="15" spans="1:14" ht="15">
      <c r="A15" s="525"/>
      <c r="B15" s="525"/>
      <c r="C15" s="661" t="s">
        <v>597</v>
      </c>
      <c r="D15" s="662"/>
      <c r="E15" s="663"/>
      <c r="F15" s="664"/>
      <c r="G15" s="664"/>
      <c r="H15" s="663"/>
      <c r="I15" s="657"/>
      <c r="J15" s="658"/>
      <c r="K15" s="659"/>
      <c r="L15" s="665">
        <v>0</v>
      </c>
      <c r="M15" s="525"/>
      <c r="N15" s="525"/>
    </row>
    <row r="16" spans="1:14" ht="14.25">
      <c r="A16" s="525"/>
      <c r="B16" s="525"/>
      <c r="C16" s="666" t="s">
        <v>598</v>
      </c>
      <c r="D16" s="667"/>
      <c r="E16" s="668"/>
      <c r="F16" s="657"/>
      <c r="G16" s="657"/>
      <c r="H16" s="657"/>
      <c r="I16" s="656">
        <v>0.84</v>
      </c>
      <c r="J16" s="656">
        <v>0</v>
      </c>
      <c r="K16" s="659"/>
      <c r="L16" s="660">
        <v>0.84</v>
      </c>
      <c r="M16" s="525"/>
      <c r="N16" s="525"/>
    </row>
    <row r="17" spans="1:14" ht="14.25">
      <c r="A17" s="525"/>
      <c r="B17" s="525"/>
      <c r="C17" s="666" t="s">
        <v>593</v>
      </c>
      <c r="D17" s="667"/>
      <c r="E17" s="668"/>
      <c r="F17" s="657"/>
      <c r="G17" s="657"/>
      <c r="H17" s="657"/>
      <c r="I17" s="656">
        <v>4.64</v>
      </c>
      <c r="J17" s="656">
        <v>0</v>
      </c>
      <c r="K17" s="659"/>
      <c r="L17" s="660">
        <v>4.64</v>
      </c>
      <c r="M17" s="525"/>
      <c r="N17" s="525"/>
    </row>
    <row r="18" spans="1:14" ht="14.25">
      <c r="A18" s="525"/>
      <c r="B18" s="525"/>
      <c r="C18" s="666" t="s">
        <v>594</v>
      </c>
      <c r="D18" s="667"/>
      <c r="E18" s="668"/>
      <c r="F18" s="657"/>
      <c r="G18" s="657"/>
      <c r="H18" s="657"/>
      <c r="I18" s="656">
        <v>8.34</v>
      </c>
      <c r="J18" s="656">
        <v>0</v>
      </c>
      <c r="K18" s="659"/>
      <c r="L18" s="660">
        <v>8.34</v>
      </c>
      <c r="M18" s="525"/>
      <c r="N18" s="525"/>
    </row>
    <row r="19" spans="1:14" ht="14.25">
      <c r="A19" s="525"/>
      <c r="B19" s="525"/>
      <c r="C19" s="666" t="s">
        <v>431</v>
      </c>
      <c r="D19" s="667"/>
      <c r="E19" s="668"/>
      <c r="F19" s="657"/>
      <c r="G19" s="657"/>
      <c r="H19" s="657"/>
      <c r="I19" s="656">
        <v>1.84</v>
      </c>
      <c r="J19" s="656">
        <v>0</v>
      </c>
      <c r="K19" s="659"/>
      <c r="L19" s="660">
        <v>1.84</v>
      </c>
      <c r="M19" s="525"/>
      <c r="N19" s="525"/>
    </row>
    <row r="20" spans="1:14" ht="15">
      <c r="A20" s="525"/>
      <c r="B20" s="525"/>
      <c r="C20" s="661" t="s">
        <v>430</v>
      </c>
      <c r="D20" s="669"/>
      <c r="E20" s="670"/>
      <c r="F20" s="671"/>
      <c r="G20" s="671"/>
      <c r="H20" s="671"/>
      <c r="I20" s="671"/>
      <c r="J20" s="659"/>
      <c r="K20" s="656">
        <v>0</v>
      </c>
      <c r="L20" s="660">
        <v>0</v>
      </c>
      <c r="M20" s="525"/>
      <c r="N20" s="525"/>
    </row>
    <row r="21" spans="1:14" ht="15">
      <c r="A21" s="525"/>
      <c r="B21" s="525"/>
      <c r="C21" s="672" t="s">
        <v>432</v>
      </c>
      <c r="D21" s="673"/>
      <c r="E21" s="674">
        <v>36.180295208204214</v>
      </c>
      <c r="F21" s="674">
        <v>0</v>
      </c>
      <c r="G21" s="674">
        <v>0</v>
      </c>
      <c r="H21" s="674">
        <v>8.002740721737947</v>
      </c>
      <c r="I21" s="674">
        <v>15.66</v>
      </c>
      <c r="J21" s="674">
        <v>0</v>
      </c>
      <c r="K21" s="675">
        <v>0</v>
      </c>
      <c r="L21" s="676">
        <v>59.843035929942175</v>
      </c>
      <c r="M21" s="677"/>
      <c r="N21" s="525"/>
    </row>
    <row r="22" spans="1:14" ht="15">
      <c r="A22" s="525"/>
      <c r="B22" s="525"/>
      <c r="C22" s="678" t="s">
        <v>585</v>
      </c>
      <c r="D22" s="679"/>
      <c r="E22" s="656">
        <v>0</v>
      </c>
      <c r="F22" s="657"/>
      <c r="G22" s="656">
        <v>0</v>
      </c>
      <c r="H22" s="656">
        <v>0</v>
      </c>
      <c r="I22" s="656">
        <v>0</v>
      </c>
      <c r="J22" s="656">
        <v>0</v>
      </c>
      <c r="K22" s="656">
        <v>0</v>
      </c>
      <c r="L22" s="660">
        <v>0</v>
      </c>
      <c r="M22" s="677"/>
      <c r="N22" s="525"/>
    </row>
    <row r="23" spans="1:14" ht="15">
      <c r="A23" s="525"/>
      <c r="B23" s="525"/>
      <c r="C23" s="672" t="s">
        <v>586</v>
      </c>
      <c r="D23" s="673"/>
      <c r="E23" s="674">
        <v>36.180295208204214</v>
      </c>
      <c r="F23" s="680">
        <v>0</v>
      </c>
      <c r="G23" s="680">
        <v>0</v>
      </c>
      <c r="H23" s="680">
        <v>8.002740721737947</v>
      </c>
      <c r="I23" s="680">
        <v>15.66</v>
      </c>
      <c r="J23" s="680">
        <v>0</v>
      </c>
      <c r="K23" s="681">
        <v>0</v>
      </c>
      <c r="L23" s="676">
        <v>59.84303592994216</v>
      </c>
      <c r="M23" s="682"/>
      <c r="N23" s="525"/>
    </row>
    <row r="24" spans="1:14" ht="15.75" thickBot="1">
      <c r="A24" s="525"/>
      <c r="B24" s="525"/>
      <c r="C24" s="683" t="s">
        <v>587</v>
      </c>
      <c r="D24" s="684"/>
      <c r="E24" s="656">
        <v>-54.2</v>
      </c>
      <c r="F24" s="656">
        <v>0</v>
      </c>
      <c r="G24" s="656">
        <v>0</v>
      </c>
      <c r="H24" s="685"/>
      <c r="I24" s="686"/>
      <c r="J24" s="686"/>
      <c r="K24" s="656">
        <v>0</v>
      </c>
      <c r="L24" s="687">
        <v>-54.2</v>
      </c>
      <c r="M24" s="688"/>
      <c r="N24" s="525"/>
    </row>
    <row r="25" spans="1:14" ht="15.75" thickBot="1">
      <c r="A25" s="525"/>
      <c r="B25" s="525"/>
      <c r="C25" s="689" t="s">
        <v>588</v>
      </c>
      <c r="D25" s="690"/>
      <c r="E25" s="691">
        <v>-18.01970479179579</v>
      </c>
      <c r="F25" s="692">
        <v>0</v>
      </c>
      <c r="G25" s="692">
        <v>0</v>
      </c>
      <c r="H25" s="692">
        <v>8.002740721737947</v>
      </c>
      <c r="I25" s="692">
        <v>15.66</v>
      </c>
      <c r="J25" s="692">
        <v>0</v>
      </c>
      <c r="K25" s="693">
        <v>0</v>
      </c>
      <c r="L25" s="694">
        <v>5.643035929942158</v>
      </c>
      <c r="M25" s="682"/>
      <c r="N25" s="525"/>
    </row>
    <row r="26" spans="1:14" ht="15.75" thickBot="1">
      <c r="A26" s="525"/>
      <c r="B26" s="525"/>
      <c r="C26" s="695"/>
      <c r="D26" s="695"/>
      <c r="E26" s="696"/>
      <c r="F26" s="696"/>
      <c r="G26" s="624"/>
      <c r="H26" s="697"/>
      <c r="I26" s="525"/>
      <c r="J26" s="525"/>
      <c r="K26" s="525"/>
      <c r="L26" s="525"/>
      <c r="M26" s="525"/>
      <c r="N26" s="525"/>
    </row>
    <row r="27" spans="1:14" ht="18.75" thickBot="1">
      <c r="A27" s="525"/>
      <c r="B27" s="525"/>
      <c r="C27" s="698" t="s">
        <v>458</v>
      </c>
      <c r="D27" s="699"/>
      <c r="E27" s="700"/>
      <c r="F27" s="700"/>
      <c r="G27" s="701"/>
      <c r="H27" s="525"/>
      <c r="I27" s="525"/>
      <c r="J27" s="525"/>
      <c r="K27" s="525"/>
      <c r="L27" s="576"/>
      <c r="M27" s="525"/>
      <c r="N27" s="525"/>
    </row>
    <row r="28" spans="1:14" ht="15.75" customHeight="1" thickBot="1">
      <c r="A28" s="525"/>
      <c r="B28" s="525"/>
      <c r="C28" s="651"/>
      <c r="D28" s="702"/>
      <c r="E28" s="1566" t="s">
        <v>550</v>
      </c>
      <c r="F28" s="1567"/>
      <c r="G28" s="703"/>
      <c r="H28" s="525"/>
      <c r="I28" s="525"/>
      <c r="J28" s="525"/>
      <c r="K28" s="525"/>
      <c r="L28" s="576"/>
      <c r="M28" s="525"/>
      <c r="N28" s="525"/>
    </row>
    <row r="29" spans="1:14" ht="30.75" thickBot="1">
      <c r="A29" s="525"/>
      <c r="B29" s="525"/>
      <c r="C29" s="704" t="s">
        <v>728</v>
      </c>
      <c r="D29" s="705"/>
      <c r="E29" s="706" t="s">
        <v>459</v>
      </c>
      <c r="F29" s="706" t="s">
        <v>618</v>
      </c>
      <c r="G29" s="707" t="s">
        <v>619</v>
      </c>
      <c r="H29" s="525"/>
      <c r="I29" s="525"/>
      <c r="J29" s="525"/>
      <c r="K29" s="525"/>
      <c r="L29" s="576"/>
      <c r="M29" s="525"/>
      <c r="N29" s="525"/>
    </row>
    <row r="30" spans="1:14" ht="15.75" thickBot="1">
      <c r="A30" s="525"/>
      <c r="B30" s="525"/>
      <c r="C30" s="708"/>
      <c r="D30" s="705"/>
      <c r="E30" s="528" t="s">
        <v>555</v>
      </c>
      <c r="F30" s="528" t="s">
        <v>555</v>
      </c>
      <c r="G30" s="528" t="s">
        <v>555</v>
      </c>
      <c r="H30" s="525"/>
      <c r="I30" s="525"/>
      <c r="J30" s="525"/>
      <c r="K30" s="525"/>
      <c r="L30" s="576"/>
      <c r="M30" s="525"/>
      <c r="N30" s="525"/>
    </row>
    <row r="31" spans="1:14" ht="15">
      <c r="A31" s="525"/>
      <c r="B31" s="525"/>
      <c r="C31" s="1568" t="s">
        <v>745</v>
      </c>
      <c r="D31" s="709" t="s">
        <v>746</v>
      </c>
      <c r="E31" s="710">
        <v>0.24</v>
      </c>
      <c r="F31" s="656">
        <v>0.046292713318415564</v>
      </c>
      <c r="G31" s="711">
        <v>0.28629271331841555</v>
      </c>
      <c r="H31" s="525"/>
      <c r="I31" s="525"/>
      <c r="J31" s="525"/>
      <c r="K31" s="525"/>
      <c r="L31" s="576"/>
      <c r="M31" s="525"/>
      <c r="N31" s="525"/>
    </row>
    <row r="32" spans="1:14" ht="15.75" thickBot="1">
      <c r="A32" s="525"/>
      <c r="B32" s="525"/>
      <c r="C32" s="1569"/>
      <c r="D32" s="712" t="s">
        <v>747</v>
      </c>
      <c r="E32" s="713">
        <v>3.64</v>
      </c>
      <c r="F32" s="713">
        <v>0.21368979761934548</v>
      </c>
      <c r="G32" s="714">
        <v>3.853689797619346</v>
      </c>
      <c r="H32" s="525"/>
      <c r="I32" s="525"/>
      <c r="J32" s="525"/>
      <c r="K32" s="525"/>
      <c r="L32" s="576"/>
      <c r="M32" s="525"/>
      <c r="N32" s="525"/>
    </row>
    <row r="33" spans="1:14" ht="15">
      <c r="A33" s="525"/>
      <c r="B33" s="525"/>
      <c r="C33" s="1568" t="s">
        <v>748</v>
      </c>
      <c r="D33" s="709" t="s">
        <v>746</v>
      </c>
      <c r="E33" s="710">
        <v>0</v>
      </c>
      <c r="F33" s="656">
        <v>0</v>
      </c>
      <c r="G33" s="711">
        <v>0</v>
      </c>
      <c r="H33" s="525"/>
      <c r="I33" s="525"/>
      <c r="J33" s="525"/>
      <c r="K33" s="525"/>
      <c r="L33" s="576"/>
      <c r="M33" s="525"/>
      <c r="N33" s="525"/>
    </row>
    <row r="34" spans="1:14" ht="15.75" thickBot="1">
      <c r="A34" s="525"/>
      <c r="B34" s="525"/>
      <c r="C34" s="1569"/>
      <c r="D34" s="712" t="s">
        <v>747</v>
      </c>
      <c r="E34" s="713">
        <v>0</v>
      </c>
      <c r="F34" s="713">
        <v>0</v>
      </c>
      <c r="G34" s="714">
        <v>0</v>
      </c>
      <c r="H34" s="525"/>
      <c r="I34" s="525"/>
      <c r="J34" s="525"/>
      <c r="K34" s="525"/>
      <c r="L34" s="576"/>
      <c r="M34" s="525"/>
      <c r="N34" s="525"/>
    </row>
    <row r="35" spans="1:14" ht="15">
      <c r="A35" s="525"/>
      <c r="B35" s="525"/>
      <c r="C35" s="1563" t="s">
        <v>598</v>
      </c>
      <c r="D35" s="709" t="s">
        <v>880</v>
      </c>
      <c r="E35" s="710">
        <v>0.588038433371822</v>
      </c>
      <c r="F35" s="656">
        <v>0.00815426760241897</v>
      </c>
      <c r="G35" s="711">
        <v>0.596192700974241</v>
      </c>
      <c r="H35" s="525"/>
      <c r="I35" s="525"/>
      <c r="J35" s="525"/>
      <c r="K35" s="525"/>
      <c r="L35" s="576"/>
      <c r="M35" s="525"/>
      <c r="N35" s="525"/>
    </row>
    <row r="36" spans="1:14" ht="15">
      <c r="A36" s="525"/>
      <c r="B36" s="525"/>
      <c r="C36" s="1564"/>
      <c r="D36" s="715" t="s">
        <v>881</v>
      </c>
      <c r="E36" s="710">
        <v>5.374459764233263</v>
      </c>
      <c r="F36" s="656">
        <v>0.07186895650312941</v>
      </c>
      <c r="G36" s="660">
        <v>5.446328720736393</v>
      </c>
      <c r="H36" s="525"/>
      <c r="I36" s="525"/>
      <c r="J36" s="525"/>
      <c r="K36" s="525"/>
      <c r="L36" s="576"/>
      <c r="M36" s="525"/>
      <c r="N36" s="525"/>
    </row>
    <row r="37" spans="1:14" ht="15.75" thickBot="1">
      <c r="A37" s="525"/>
      <c r="B37" s="525"/>
      <c r="C37" s="1565"/>
      <c r="D37" s="716" t="s">
        <v>882</v>
      </c>
      <c r="E37" s="713">
        <v>2.3075336631865913</v>
      </c>
      <c r="F37" s="713">
        <v>0.19078495292205472</v>
      </c>
      <c r="G37" s="714">
        <v>2.498318616108646</v>
      </c>
      <c r="H37" s="525"/>
      <c r="I37" s="525"/>
      <c r="J37" s="525"/>
      <c r="K37" s="525"/>
      <c r="L37" s="576"/>
      <c r="M37" s="525"/>
      <c r="N37" s="525"/>
    </row>
    <row r="38" spans="1:14" ht="15">
      <c r="A38" s="525"/>
      <c r="B38" s="525"/>
      <c r="C38" s="1563" t="s">
        <v>694</v>
      </c>
      <c r="D38" s="709" t="s">
        <v>883</v>
      </c>
      <c r="E38" s="710">
        <v>10.349688615538659</v>
      </c>
      <c r="F38" s="656">
        <v>0.0692034465242985</v>
      </c>
      <c r="G38" s="711">
        <v>10.418892062062957</v>
      </c>
      <c r="H38" s="525"/>
      <c r="I38" s="525"/>
      <c r="J38" s="525"/>
      <c r="K38" s="525"/>
      <c r="L38" s="576"/>
      <c r="M38" s="525"/>
      <c r="N38" s="525"/>
    </row>
    <row r="39" spans="1:14" ht="15">
      <c r="A39" s="525"/>
      <c r="B39" s="525"/>
      <c r="C39" s="1564"/>
      <c r="D39" s="715" t="s">
        <v>768</v>
      </c>
      <c r="E39" s="710">
        <v>3.54</v>
      </c>
      <c r="F39" s="656">
        <v>1.24</v>
      </c>
      <c r="G39" s="660">
        <v>4.78</v>
      </c>
      <c r="H39" s="525"/>
      <c r="I39" s="525"/>
      <c r="J39" s="525"/>
      <c r="K39" s="525"/>
      <c r="L39" s="576"/>
      <c r="M39" s="525"/>
      <c r="N39" s="525"/>
    </row>
    <row r="40" spans="1:14" ht="15">
      <c r="A40" s="525"/>
      <c r="B40" s="525"/>
      <c r="C40" s="1564"/>
      <c r="D40" s="717" t="s">
        <v>769</v>
      </c>
      <c r="E40" s="710">
        <v>0</v>
      </c>
      <c r="F40" s="656">
        <v>0</v>
      </c>
      <c r="G40" s="660">
        <v>0</v>
      </c>
      <c r="H40" s="525"/>
      <c r="I40" s="525"/>
      <c r="J40" s="525"/>
      <c r="K40" s="525"/>
      <c r="L40" s="576"/>
      <c r="M40" s="525"/>
      <c r="N40" s="525"/>
    </row>
    <row r="41" spans="1:14" ht="15">
      <c r="A41" s="525"/>
      <c r="B41" s="525"/>
      <c r="C41" s="1564"/>
      <c r="D41" s="717" t="s">
        <v>882</v>
      </c>
      <c r="E41" s="710">
        <v>3.74</v>
      </c>
      <c r="F41" s="656">
        <v>0.5482190840087922</v>
      </c>
      <c r="G41" s="660">
        <v>4.288219084008793</v>
      </c>
      <c r="H41" s="525"/>
      <c r="I41" s="525"/>
      <c r="J41" s="525"/>
      <c r="K41" s="525"/>
      <c r="L41" s="576"/>
      <c r="M41" s="525"/>
      <c r="N41" s="525"/>
    </row>
    <row r="42" spans="1:14" ht="15">
      <c r="A42" s="525"/>
      <c r="B42" s="525"/>
      <c r="C42" s="1564"/>
      <c r="D42" s="715" t="s">
        <v>472</v>
      </c>
      <c r="E42" s="710">
        <v>0.37899100091533766</v>
      </c>
      <c r="F42" s="656">
        <v>0.32116813541497696</v>
      </c>
      <c r="G42" s="660">
        <v>0.7001591363303146</v>
      </c>
      <c r="H42" s="525"/>
      <c r="I42" s="525"/>
      <c r="J42" s="525"/>
      <c r="K42" s="525"/>
      <c r="L42" s="576"/>
      <c r="M42" s="525"/>
      <c r="N42" s="525"/>
    </row>
    <row r="43" spans="1:14" ht="15.75" thickBot="1">
      <c r="A43" s="525"/>
      <c r="B43" s="525"/>
      <c r="C43" s="1565"/>
      <c r="D43" s="712" t="s">
        <v>473</v>
      </c>
      <c r="E43" s="713">
        <v>1.24</v>
      </c>
      <c r="F43" s="713">
        <v>0.7</v>
      </c>
      <c r="G43" s="714">
        <v>1.94</v>
      </c>
      <c r="H43" s="525"/>
      <c r="I43" s="525"/>
      <c r="J43" s="525"/>
      <c r="K43" s="525"/>
      <c r="L43" s="576"/>
      <c r="M43" s="525"/>
      <c r="N43" s="525"/>
    </row>
    <row r="44" spans="1:14" ht="15">
      <c r="A44" s="525"/>
      <c r="B44" s="525"/>
      <c r="C44" s="1563" t="s">
        <v>815</v>
      </c>
      <c r="D44" s="709" t="s">
        <v>883</v>
      </c>
      <c r="E44" s="710">
        <v>0.04574765465878641</v>
      </c>
      <c r="F44" s="656">
        <v>0.005875847172174243</v>
      </c>
      <c r="G44" s="711">
        <v>0.05162350183096066</v>
      </c>
      <c r="H44" s="525"/>
      <c r="I44" s="525"/>
      <c r="J44" s="525"/>
      <c r="K44" s="525"/>
      <c r="L44" s="576"/>
      <c r="M44" s="525"/>
      <c r="N44" s="525"/>
    </row>
    <row r="45" spans="1:14" ht="15">
      <c r="A45" s="525"/>
      <c r="B45" s="525"/>
      <c r="C45" s="1564"/>
      <c r="D45" s="715" t="s">
        <v>768</v>
      </c>
      <c r="E45" s="710">
        <v>1.04</v>
      </c>
      <c r="F45" s="656">
        <v>0.22404121029423843</v>
      </c>
      <c r="G45" s="660">
        <v>1.2640412102942384</v>
      </c>
      <c r="H45" s="525"/>
      <c r="I45" s="525"/>
      <c r="J45" s="525"/>
      <c r="K45" s="525"/>
      <c r="L45" s="576"/>
      <c r="M45" s="525"/>
      <c r="N45" s="525"/>
    </row>
    <row r="46" spans="1:14" ht="15">
      <c r="A46" s="525"/>
      <c r="B46" s="525"/>
      <c r="C46" s="1564"/>
      <c r="D46" s="715" t="s">
        <v>769</v>
      </c>
      <c r="E46" s="710">
        <v>0</v>
      </c>
      <c r="F46" s="656">
        <v>0</v>
      </c>
      <c r="G46" s="660">
        <v>0</v>
      </c>
      <c r="H46" s="525"/>
      <c r="I46" s="525"/>
      <c r="J46" s="525"/>
      <c r="K46" s="525"/>
      <c r="L46" s="576"/>
      <c r="M46" s="525"/>
      <c r="N46" s="525"/>
    </row>
    <row r="47" spans="1:14" ht="15">
      <c r="A47" s="525"/>
      <c r="B47" s="525"/>
      <c r="C47" s="1564"/>
      <c r="D47" s="715" t="s">
        <v>882</v>
      </c>
      <c r="E47" s="710">
        <v>0.03840504697635287</v>
      </c>
      <c r="F47" s="656">
        <v>0.03189398352042905</v>
      </c>
      <c r="G47" s="660">
        <v>0.07029903049678192</v>
      </c>
      <c r="H47" s="525"/>
      <c r="I47" s="525"/>
      <c r="J47" s="525"/>
      <c r="K47" s="525"/>
      <c r="L47" s="576"/>
      <c r="M47" s="525"/>
      <c r="N47" s="525"/>
    </row>
    <row r="48" spans="1:14" ht="15">
      <c r="A48" s="525"/>
      <c r="B48" s="525"/>
      <c r="C48" s="1564"/>
      <c r="D48" s="715" t="s">
        <v>472</v>
      </c>
      <c r="E48" s="710">
        <v>-0.04391021798885289</v>
      </c>
      <c r="F48" s="656">
        <v>2.2469662936353614</v>
      </c>
      <c r="G48" s="660">
        <v>2.2030560756465083</v>
      </c>
      <c r="H48" s="525"/>
      <c r="I48" s="525"/>
      <c r="J48" s="525"/>
      <c r="K48" s="525"/>
      <c r="L48" s="576"/>
      <c r="M48" s="525"/>
      <c r="N48" s="525"/>
    </row>
    <row r="49" spans="1:14" ht="15.75" thickBot="1">
      <c r="A49" s="525"/>
      <c r="B49" s="525"/>
      <c r="C49" s="1565"/>
      <c r="D49" s="718" t="s">
        <v>473</v>
      </c>
      <c r="E49" s="713">
        <v>1.592475814205339</v>
      </c>
      <c r="F49" s="713">
        <v>0.0042914531994428925</v>
      </c>
      <c r="G49" s="714">
        <v>1.596767267404782</v>
      </c>
      <c r="H49" s="525"/>
      <c r="I49" s="525"/>
      <c r="J49" s="525"/>
      <c r="K49" s="525"/>
      <c r="L49" s="576"/>
      <c r="M49" s="525"/>
      <c r="N49" s="525"/>
    </row>
    <row r="50" spans="1:14" ht="15">
      <c r="A50" s="525"/>
      <c r="B50" s="525"/>
      <c r="C50" s="1563" t="s">
        <v>813</v>
      </c>
      <c r="D50" s="719" t="s">
        <v>883</v>
      </c>
      <c r="E50" s="710">
        <v>7.04</v>
      </c>
      <c r="F50" s="656">
        <v>0</v>
      </c>
      <c r="G50" s="711">
        <v>7.04</v>
      </c>
      <c r="H50" s="525"/>
      <c r="I50" s="525"/>
      <c r="J50" s="525"/>
      <c r="K50" s="525"/>
      <c r="L50" s="576"/>
      <c r="M50" s="525"/>
      <c r="N50" s="525"/>
    </row>
    <row r="51" spans="1:14" ht="15">
      <c r="A51" s="525"/>
      <c r="B51" s="525"/>
      <c r="C51" s="1564"/>
      <c r="D51" s="715" t="s">
        <v>768</v>
      </c>
      <c r="E51" s="710">
        <v>3.9669160593351322</v>
      </c>
      <c r="F51" s="656">
        <v>0</v>
      </c>
      <c r="G51" s="660">
        <v>3.9669160593351322</v>
      </c>
      <c r="H51" s="525"/>
      <c r="I51" s="525"/>
      <c r="J51" s="525"/>
      <c r="K51" s="525"/>
      <c r="L51" s="576"/>
      <c r="M51" s="525"/>
      <c r="N51" s="525"/>
    </row>
    <row r="52" spans="1:14" ht="15">
      <c r="A52" s="525"/>
      <c r="B52" s="525"/>
      <c r="C52" s="1564"/>
      <c r="D52" s="720" t="s">
        <v>474</v>
      </c>
      <c r="E52" s="710">
        <v>0</v>
      </c>
      <c r="F52" s="656">
        <v>0</v>
      </c>
      <c r="G52" s="660">
        <v>0</v>
      </c>
      <c r="H52" s="525"/>
      <c r="I52" s="525"/>
      <c r="J52" s="525"/>
      <c r="K52" s="525"/>
      <c r="L52" s="576"/>
      <c r="M52" s="525"/>
      <c r="N52" s="525"/>
    </row>
    <row r="53" spans="1:14" ht="15">
      <c r="A53" s="525"/>
      <c r="B53" s="525"/>
      <c r="C53" s="1564"/>
      <c r="D53" s="720" t="s">
        <v>882</v>
      </c>
      <c r="E53" s="710">
        <v>11.94</v>
      </c>
      <c r="F53" s="656">
        <v>0</v>
      </c>
      <c r="G53" s="660">
        <v>11.94</v>
      </c>
      <c r="H53" s="525"/>
      <c r="I53" s="525"/>
      <c r="J53" s="525"/>
      <c r="K53" s="525"/>
      <c r="L53" s="576"/>
      <c r="M53" s="525"/>
      <c r="N53" s="525"/>
    </row>
    <row r="54" spans="1:14" ht="15">
      <c r="A54" s="525"/>
      <c r="B54" s="525"/>
      <c r="C54" s="1564"/>
      <c r="D54" s="720" t="s">
        <v>472</v>
      </c>
      <c r="E54" s="710">
        <v>2.5499467560803706</v>
      </c>
      <c r="F54" s="656">
        <v>0.4007368773762815</v>
      </c>
      <c r="G54" s="660">
        <v>2.950683633456652</v>
      </c>
      <c r="H54" s="525"/>
      <c r="I54" s="525"/>
      <c r="J54" s="525"/>
      <c r="K54" s="525"/>
      <c r="L54" s="576"/>
      <c r="M54" s="525"/>
      <c r="N54" s="525"/>
    </row>
    <row r="55" spans="1:14" ht="15.75" thickBot="1">
      <c r="A55" s="525"/>
      <c r="B55" s="525"/>
      <c r="C55" s="1565"/>
      <c r="D55" s="718" t="s">
        <v>473</v>
      </c>
      <c r="E55" s="710">
        <v>-0.020865269887229355</v>
      </c>
      <c r="F55" s="656">
        <v>0.011137266114561692</v>
      </c>
      <c r="G55" s="660">
        <v>-0.009728003772667663</v>
      </c>
      <c r="H55" s="525"/>
      <c r="I55" s="525"/>
      <c r="J55" s="525"/>
      <c r="K55" s="525"/>
      <c r="L55" s="576"/>
      <c r="M55" s="525"/>
      <c r="N55" s="525"/>
    </row>
    <row r="56" spans="1:14" ht="15.75" thickBot="1">
      <c r="A56" s="525"/>
      <c r="B56" s="525"/>
      <c r="C56" s="570" t="s">
        <v>475</v>
      </c>
      <c r="D56" s="571"/>
      <c r="E56" s="721">
        <v>59.547427320625566</v>
      </c>
      <c r="F56" s="721">
        <v>6.334324285225922</v>
      </c>
      <c r="G56" s="721">
        <v>65.88175160585149</v>
      </c>
      <c r="H56" s="688"/>
      <c r="I56" s="525"/>
      <c r="J56" s="525"/>
      <c r="K56" s="525"/>
      <c r="L56" s="525"/>
      <c r="M56" s="576"/>
      <c r="N56" s="525"/>
    </row>
    <row r="57" spans="1:14" ht="15.75" thickBot="1">
      <c r="A57" s="525"/>
      <c r="B57" s="525"/>
      <c r="C57" s="722" t="s">
        <v>587</v>
      </c>
      <c r="D57" s="573"/>
      <c r="E57" s="710">
        <v>0</v>
      </c>
      <c r="F57" s="656">
        <v>0</v>
      </c>
      <c r="G57" s="660">
        <v>0</v>
      </c>
      <c r="H57" s="688"/>
      <c r="I57" s="688"/>
      <c r="J57" s="688"/>
      <c r="K57" s="525"/>
      <c r="L57" s="525"/>
      <c r="M57" s="576"/>
      <c r="N57" s="525"/>
    </row>
    <row r="58" spans="1:14" ht="15.75" thickBot="1">
      <c r="A58" s="525"/>
      <c r="B58" s="525"/>
      <c r="C58" s="570" t="s">
        <v>620</v>
      </c>
      <c r="D58" s="571"/>
      <c r="E58" s="721">
        <v>59.547427320625566</v>
      </c>
      <c r="F58" s="721">
        <v>6.334324285225922</v>
      </c>
      <c r="G58" s="721">
        <v>65.88175160585149</v>
      </c>
      <c r="H58" s="525"/>
      <c r="I58" s="525"/>
      <c r="J58" s="525"/>
      <c r="K58" s="525"/>
      <c r="L58" s="576"/>
      <c r="M58" s="525"/>
      <c r="N58" s="525"/>
    </row>
    <row r="59" spans="1:14" ht="13.5" thickBo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5.75" thickBot="1">
      <c r="A60" s="525"/>
      <c r="B60" s="525"/>
      <c r="C60" s="723" t="s">
        <v>485</v>
      </c>
      <c r="D60" s="724"/>
      <c r="E60" s="725" t="s">
        <v>695</v>
      </c>
      <c r="F60" s="725" t="s">
        <v>694</v>
      </c>
      <c r="G60" s="725" t="s">
        <v>815</v>
      </c>
      <c r="H60" s="725" t="s">
        <v>813</v>
      </c>
      <c r="I60" s="725" t="s">
        <v>816</v>
      </c>
      <c r="J60" s="525"/>
      <c r="K60" s="525"/>
      <c r="L60" s="525"/>
      <c r="M60" s="576"/>
      <c r="N60" s="525"/>
    </row>
    <row r="61" spans="1:14" ht="18.75" thickBot="1">
      <c r="A61" s="525"/>
      <c r="B61" s="525"/>
      <c r="C61" s="726" t="s">
        <v>728</v>
      </c>
      <c r="D61" s="727"/>
      <c r="E61" s="528" t="s">
        <v>555</v>
      </c>
      <c r="F61" s="528" t="s">
        <v>555</v>
      </c>
      <c r="G61" s="528" t="s">
        <v>555</v>
      </c>
      <c r="H61" s="528" t="s">
        <v>555</v>
      </c>
      <c r="I61" s="528" t="s">
        <v>555</v>
      </c>
      <c r="J61" s="525"/>
      <c r="K61" s="525"/>
      <c r="L61" s="525"/>
      <c r="M61" s="525"/>
      <c r="N61" s="576"/>
    </row>
    <row r="62" spans="1:14" ht="15">
      <c r="A62" s="525"/>
      <c r="B62" s="525"/>
      <c r="C62" s="728" t="s">
        <v>486</v>
      </c>
      <c r="D62" s="729"/>
      <c r="E62" s="710">
        <v>0.11144405232676594</v>
      </c>
      <c r="F62" s="656">
        <v>7.851659561371202</v>
      </c>
      <c r="G62" s="656">
        <v>0.012426650420184003</v>
      </c>
      <c r="H62" s="656">
        <v>0</v>
      </c>
      <c r="I62" s="730">
        <v>7.975530264118151</v>
      </c>
      <c r="J62" s="525"/>
      <c r="K62" s="525"/>
      <c r="L62" s="525"/>
      <c r="M62" s="525"/>
      <c r="N62" s="576"/>
    </row>
    <row r="63" spans="1:14" ht="15">
      <c r="A63" s="525"/>
      <c r="B63" s="525"/>
      <c r="C63" s="731" t="s">
        <v>487</v>
      </c>
      <c r="D63" s="732"/>
      <c r="E63" s="710">
        <v>1.44</v>
      </c>
      <c r="F63" s="656">
        <v>0.8145347466944252</v>
      </c>
      <c r="G63" s="656">
        <v>0.2766755060952324</v>
      </c>
      <c r="H63" s="656">
        <v>0.05689310478727733</v>
      </c>
      <c r="I63" s="676">
        <v>2.5881033575769345</v>
      </c>
      <c r="J63" s="525"/>
      <c r="K63" s="525"/>
      <c r="L63" s="525"/>
      <c r="M63" s="525"/>
      <c r="N63" s="576"/>
    </row>
    <row r="64" spans="1:14" ht="15">
      <c r="A64" s="525"/>
      <c r="B64" s="525"/>
      <c r="C64" s="731" t="s">
        <v>770</v>
      </c>
      <c r="D64" s="732"/>
      <c r="E64" s="710">
        <v>0.00791330406771758</v>
      </c>
      <c r="F64" s="656">
        <v>0.03171821373732789</v>
      </c>
      <c r="G64" s="656">
        <v>0.06763346259958805</v>
      </c>
      <c r="H64" s="656">
        <v>0</v>
      </c>
      <c r="I64" s="676">
        <v>0.10726498040463352</v>
      </c>
      <c r="J64" s="525"/>
      <c r="K64" s="525"/>
      <c r="L64" s="525"/>
      <c r="M64" s="525"/>
      <c r="N64" s="576"/>
    </row>
    <row r="65" spans="1:14" ht="15">
      <c r="A65" s="525"/>
      <c r="B65" s="525"/>
      <c r="C65" s="731" t="s">
        <v>771</v>
      </c>
      <c r="D65" s="732"/>
      <c r="E65" s="710">
        <v>0.01702207906146294</v>
      </c>
      <c r="F65" s="656">
        <v>0.02801254141920776</v>
      </c>
      <c r="G65" s="656">
        <v>0</v>
      </c>
      <c r="H65" s="656">
        <v>0</v>
      </c>
      <c r="I65" s="676">
        <v>0.0450346204806707</v>
      </c>
      <c r="J65" s="525"/>
      <c r="K65" s="525"/>
      <c r="L65" s="525"/>
      <c r="M65" s="525"/>
      <c r="N65" s="576"/>
    </row>
    <row r="66" spans="1:14" ht="15">
      <c r="A66" s="525"/>
      <c r="B66" s="525"/>
      <c r="C66" s="731" t="s">
        <v>772</v>
      </c>
      <c r="D66" s="732"/>
      <c r="E66" s="710">
        <v>0</v>
      </c>
      <c r="F66" s="656">
        <v>0.008754704549918375</v>
      </c>
      <c r="G66" s="656">
        <v>0</v>
      </c>
      <c r="H66" s="656">
        <v>0</v>
      </c>
      <c r="I66" s="676">
        <v>0.008754704549918375</v>
      </c>
      <c r="J66" s="525"/>
      <c r="K66" s="525"/>
      <c r="L66" s="525"/>
      <c r="M66" s="525"/>
      <c r="N66" s="576"/>
    </row>
    <row r="67" spans="1:14" ht="15">
      <c r="A67" s="525"/>
      <c r="B67" s="525"/>
      <c r="C67" s="731" t="s">
        <v>773</v>
      </c>
      <c r="D67" s="732"/>
      <c r="E67" s="710">
        <v>0</v>
      </c>
      <c r="F67" s="656">
        <v>0</v>
      </c>
      <c r="G67" s="656">
        <v>0</v>
      </c>
      <c r="H67" s="656">
        <v>0</v>
      </c>
      <c r="I67" s="676">
        <v>0</v>
      </c>
      <c r="J67" s="525"/>
      <c r="K67" s="525"/>
      <c r="L67" s="525"/>
      <c r="M67" s="525"/>
      <c r="N67" s="576"/>
    </row>
    <row r="68" spans="1:14" ht="15">
      <c r="A68" s="525"/>
      <c r="B68" s="525"/>
      <c r="C68" s="731" t="s">
        <v>774</v>
      </c>
      <c r="D68" s="732"/>
      <c r="E68" s="710">
        <v>0</v>
      </c>
      <c r="F68" s="656">
        <v>0</v>
      </c>
      <c r="G68" s="656">
        <v>0</v>
      </c>
      <c r="H68" s="656">
        <v>0</v>
      </c>
      <c r="I68" s="676">
        <v>0</v>
      </c>
      <c r="J68" s="525"/>
      <c r="K68" s="525"/>
      <c r="L68" s="525"/>
      <c r="M68" s="525"/>
      <c r="N68" s="576"/>
    </row>
    <row r="69" spans="1:14" ht="15">
      <c r="A69" s="525"/>
      <c r="B69" s="525"/>
      <c r="C69" s="731" t="s">
        <v>792</v>
      </c>
      <c r="D69" s="733"/>
      <c r="E69" s="710">
        <v>0</v>
      </c>
      <c r="F69" s="656">
        <v>0.00020674791032064717</v>
      </c>
      <c r="G69" s="656">
        <v>0.0520947178439876</v>
      </c>
      <c r="H69" s="656">
        <v>0</v>
      </c>
      <c r="I69" s="687">
        <v>0.052301465754308246</v>
      </c>
      <c r="J69" s="525"/>
      <c r="K69" s="525"/>
      <c r="L69" s="525"/>
      <c r="M69" s="525"/>
      <c r="N69" s="576"/>
    </row>
    <row r="70" spans="1:14" ht="15.75" thickBot="1">
      <c r="A70" s="525"/>
      <c r="B70" s="525"/>
      <c r="C70" s="734" t="s">
        <v>793</v>
      </c>
      <c r="D70" s="735"/>
      <c r="E70" s="710">
        <v>1.7071761753133965</v>
      </c>
      <c r="F70" s="656">
        <v>1.9141859817989475</v>
      </c>
      <c r="G70" s="656">
        <v>0.12842695304841664</v>
      </c>
      <c r="H70" s="656">
        <v>2.276749804831906</v>
      </c>
      <c r="I70" s="736">
        <v>6.026538914992667</v>
      </c>
      <c r="J70" s="525"/>
      <c r="K70" s="525"/>
      <c r="L70" s="525"/>
      <c r="M70" s="525"/>
      <c r="N70" s="576"/>
    </row>
    <row r="71" spans="1:14" ht="15.75" thickBot="1">
      <c r="A71" s="525"/>
      <c r="B71" s="525"/>
      <c r="C71" s="737" t="s">
        <v>784</v>
      </c>
      <c r="D71" s="738"/>
      <c r="E71" s="694">
        <v>3.283555610769343</v>
      </c>
      <c r="F71" s="694">
        <v>10.64907249748135</v>
      </c>
      <c r="G71" s="694">
        <v>0.5372572900074086</v>
      </c>
      <c r="H71" s="694">
        <v>2.3336429096191833</v>
      </c>
      <c r="I71" s="694">
        <v>16.803528307877283</v>
      </c>
      <c r="J71" s="525"/>
      <c r="K71" s="525"/>
      <c r="L71" s="525"/>
      <c r="M71" s="525"/>
      <c r="N71" s="576"/>
    </row>
    <row r="72" spans="1:14" ht="15.75" thickBot="1">
      <c r="A72" s="525"/>
      <c r="B72" s="525"/>
      <c r="C72" s="739" t="s">
        <v>587</v>
      </c>
      <c r="D72" s="573"/>
      <c r="E72" s="710">
        <v>0</v>
      </c>
      <c r="F72" s="656">
        <v>0</v>
      </c>
      <c r="G72" s="656">
        <v>0</v>
      </c>
      <c r="H72" s="656">
        <v>0</v>
      </c>
      <c r="I72" s="694">
        <v>0</v>
      </c>
      <c r="J72" s="525"/>
      <c r="K72" s="525"/>
      <c r="L72" s="525"/>
      <c r="M72" s="576"/>
      <c r="N72" s="525"/>
    </row>
    <row r="73" spans="1:14" ht="15.75" thickBot="1">
      <c r="A73" s="525"/>
      <c r="B73" s="525"/>
      <c r="C73" s="737" t="s">
        <v>646</v>
      </c>
      <c r="D73" s="571"/>
      <c r="E73" s="740">
        <v>3.283555610769343</v>
      </c>
      <c r="F73" s="740">
        <v>10.64907249748135</v>
      </c>
      <c r="G73" s="740">
        <v>0.5372572900074086</v>
      </c>
      <c r="H73" s="740">
        <v>2.3336429096191833</v>
      </c>
      <c r="I73" s="740">
        <v>16.803528307877283</v>
      </c>
      <c r="J73" s="525"/>
      <c r="K73" s="525"/>
      <c r="L73" s="525"/>
      <c r="M73" s="576"/>
      <c r="N73" s="525"/>
    </row>
    <row r="74" spans="1:14" ht="15.75" thickBot="1">
      <c r="A74" s="525"/>
      <c r="B74" s="525"/>
      <c r="C74" s="627"/>
      <c r="D74" s="741"/>
      <c r="E74" s="741"/>
      <c r="F74" s="741"/>
      <c r="G74" s="741"/>
      <c r="H74" s="742"/>
      <c r="I74" s="742"/>
      <c r="J74" s="742"/>
      <c r="K74" s="742"/>
      <c r="L74" s="525"/>
      <c r="M74" s="525"/>
      <c r="N74" s="525"/>
    </row>
    <row r="75" spans="1:14" ht="15.75" thickBot="1">
      <c r="A75" s="525"/>
      <c r="B75" s="525"/>
      <c r="C75" s="737" t="s">
        <v>492</v>
      </c>
      <c r="D75" s="738"/>
      <c r="E75" s="743">
        <v>82.68527991372878</v>
      </c>
      <c r="F75" s="688"/>
      <c r="G75" s="525"/>
      <c r="H75" s="525"/>
      <c r="I75" s="525"/>
      <c r="J75" s="525"/>
      <c r="K75" s="525"/>
      <c r="L75" s="525"/>
      <c r="M75" s="576"/>
      <c r="N75" s="525"/>
    </row>
    <row r="76" spans="1:14" ht="15.75" thickBot="1">
      <c r="A76" s="525"/>
      <c r="B76" s="525"/>
      <c r="C76" s="737" t="s">
        <v>587</v>
      </c>
      <c r="D76" s="573"/>
      <c r="E76" s="744">
        <v>0</v>
      </c>
      <c r="F76" s="688"/>
      <c r="G76" s="525"/>
      <c r="H76" s="525"/>
      <c r="I76" s="525"/>
      <c r="J76" s="525"/>
      <c r="K76" s="525"/>
      <c r="L76" s="525"/>
      <c r="M76" s="576"/>
      <c r="N76" s="525"/>
    </row>
    <row r="77" spans="1:14" ht="15.75" thickBot="1">
      <c r="A77" s="525"/>
      <c r="B77" s="525"/>
      <c r="C77" s="737" t="s">
        <v>225</v>
      </c>
      <c r="D77" s="571"/>
      <c r="E77" s="740">
        <v>82.68527991372878</v>
      </c>
      <c r="F77" s="525"/>
      <c r="G77" s="525"/>
      <c r="H77" s="525"/>
      <c r="I77" s="525"/>
      <c r="J77" s="525"/>
      <c r="K77" s="525"/>
      <c r="L77" s="525"/>
      <c r="M77" s="576"/>
      <c r="N77" s="525"/>
    </row>
    <row r="78" spans="1:14" ht="15" thickBot="1">
      <c r="A78" s="525"/>
      <c r="B78" s="525"/>
      <c r="C78" s="521"/>
      <c r="D78" s="521"/>
      <c r="E78" s="521"/>
      <c r="F78" s="521"/>
      <c r="G78" s="521"/>
      <c r="H78" s="521"/>
      <c r="I78" s="521"/>
      <c r="J78" s="521"/>
      <c r="K78" s="521"/>
      <c r="L78" s="525"/>
      <c r="M78" s="525"/>
      <c r="N78" s="525"/>
    </row>
    <row r="79" spans="1:14" ht="18.75" thickBot="1">
      <c r="A79" s="525"/>
      <c r="B79" s="525"/>
      <c r="C79" s="745" t="s">
        <v>226</v>
      </c>
      <c r="D79" s="746"/>
      <c r="E79" s="747"/>
      <c r="F79" s="747"/>
      <c r="G79" s="748"/>
      <c r="H79" s="525"/>
      <c r="I79" s="525"/>
      <c r="J79" s="525"/>
      <c r="K79" s="525"/>
      <c r="L79" s="525"/>
      <c r="M79" s="525"/>
      <c r="N79" s="525"/>
    </row>
    <row r="80" spans="1:14" ht="45.75" thickBot="1">
      <c r="A80" s="525"/>
      <c r="B80" s="525"/>
      <c r="C80" s="749" t="s">
        <v>728</v>
      </c>
      <c r="D80" s="702"/>
      <c r="E80" s="750" t="s">
        <v>816</v>
      </c>
      <c r="F80" s="751" t="s">
        <v>227</v>
      </c>
      <c r="G80" s="751" t="s">
        <v>228</v>
      </c>
      <c r="H80" s="525"/>
      <c r="I80" s="525"/>
      <c r="J80" s="525"/>
      <c r="K80" s="525"/>
      <c r="L80" s="525"/>
      <c r="M80" s="525"/>
      <c r="N80" s="525"/>
    </row>
    <row r="81" spans="1:14" ht="15.75" thickBot="1">
      <c r="A81" s="525"/>
      <c r="B81" s="525"/>
      <c r="C81" s="752"/>
      <c r="D81" s="753"/>
      <c r="E81" s="754" t="s">
        <v>555</v>
      </c>
      <c r="F81" s="528" t="s">
        <v>555</v>
      </c>
      <c r="G81" s="528" t="s">
        <v>555</v>
      </c>
      <c r="H81" s="525"/>
      <c r="I81" s="525"/>
      <c r="J81" s="525"/>
      <c r="K81" s="525"/>
      <c r="L81" s="525"/>
      <c r="M81" s="525"/>
      <c r="N81" s="525"/>
    </row>
    <row r="82" spans="1:14" ht="14.25">
      <c r="A82" s="525"/>
      <c r="B82" s="525"/>
      <c r="C82" s="755" t="s">
        <v>501</v>
      </c>
      <c r="D82" s="756"/>
      <c r="E82" s="711">
        <v>0.2</v>
      </c>
      <c r="F82" s="656">
        <v>0.2</v>
      </c>
      <c r="G82" s="710"/>
      <c r="H82" s="525"/>
      <c r="I82" s="525"/>
      <c r="J82" s="525"/>
      <c r="K82" s="525"/>
      <c r="L82" s="525"/>
      <c r="M82" s="525"/>
      <c r="N82" s="525"/>
    </row>
    <row r="83" spans="1:14" ht="14.25">
      <c r="A83" s="525"/>
      <c r="B83" s="525"/>
      <c r="C83" s="757" t="s">
        <v>229</v>
      </c>
      <c r="D83" s="612"/>
      <c r="E83" s="660">
        <v>0</v>
      </c>
      <c r="F83" s="656"/>
      <c r="G83" s="710"/>
      <c r="H83" s="525"/>
      <c r="I83" s="525"/>
      <c r="J83" s="525"/>
      <c r="K83" s="525"/>
      <c r="L83" s="525"/>
      <c r="M83" s="525"/>
      <c r="N83" s="525"/>
    </row>
    <row r="84" spans="1:14" ht="14.25">
      <c r="A84" s="525"/>
      <c r="B84" s="525"/>
      <c r="C84" s="757" t="s">
        <v>230</v>
      </c>
      <c r="D84" s="612"/>
      <c r="E84" s="660">
        <v>1.359</v>
      </c>
      <c r="F84" s="656">
        <v>1.359</v>
      </c>
      <c r="G84" s="710"/>
      <c r="H84" s="525"/>
      <c r="I84" s="525"/>
      <c r="J84" s="525"/>
      <c r="K84" s="525"/>
      <c r="L84" s="525"/>
      <c r="M84" s="525"/>
      <c r="N84" s="525"/>
    </row>
    <row r="85" spans="1:14" ht="14.25">
      <c r="A85" s="525"/>
      <c r="B85" s="525"/>
      <c r="C85" s="757" t="s">
        <v>231</v>
      </c>
      <c r="D85" s="612"/>
      <c r="E85" s="660">
        <v>0</v>
      </c>
      <c r="F85" s="656"/>
      <c r="G85" s="710"/>
      <c r="H85" s="525"/>
      <c r="I85" s="525"/>
      <c r="J85" s="525"/>
      <c r="K85" s="525"/>
      <c r="L85" s="525"/>
      <c r="M85" s="525"/>
      <c r="N85" s="525"/>
    </row>
    <row r="86" spans="1:14" ht="14.25">
      <c r="A86" s="525"/>
      <c r="B86" s="525"/>
      <c r="C86" s="757" t="s">
        <v>493</v>
      </c>
      <c r="D86" s="612"/>
      <c r="E86" s="660">
        <v>0</v>
      </c>
      <c r="F86" s="656"/>
      <c r="G86" s="710"/>
      <c r="H86" s="525"/>
      <c r="I86" s="525"/>
      <c r="J86" s="525"/>
      <c r="K86" s="525"/>
      <c r="L86" s="525"/>
      <c r="M86" s="525"/>
      <c r="N86" s="525"/>
    </row>
    <row r="87" spans="1:14" ht="14.25">
      <c r="A87" s="525"/>
      <c r="B87" s="525"/>
      <c r="C87" s="757" t="s">
        <v>783</v>
      </c>
      <c r="D87" s="612"/>
      <c r="E87" s="660">
        <v>0.6890000000000001</v>
      </c>
      <c r="F87" s="656">
        <v>0.6890000000000001</v>
      </c>
      <c r="G87" s="710"/>
      <c r="H87" s="525"/>
      <c r="I87" s="525"/>
      <c r="J87" s="525"/>
      <c r="K87" s="525"/>
      <c r="L87" s="525"/>
      <c r="M87" s="525"/>
      <c r="N87" s="525"/>
    </row>
    <row r="88" spans="1:14" ht="15" thickBot="1">
      <c r="A88" s="525"/>
      <c r="B88" s="525"/>
      <c r="C88" s="757" t="s">
        <v>683</v>
      </c>
      <c r="D88" s="612"/>
      <c r="E88" s="660">
        <v>0</v>
      </c>
      <c r="F88" s="656"/>
      <c r="G88" s="710"/>
      <c r="H88" s="688"/>
      <c r="I88" s="525"/>
      <c r="J88" s="525"/>
      <c r="K88" s="525"/>
      <c r="L88" s="525"/>
      <c r="M88" s="525"/>
      <c r="N88" s="525"/>
    </row>
    <row r="89" spans="1:14" ht="15.75" thickBot="1">
      <c r="A89" s="525"/>
      <c r="B89" s="525"/>
      <c r="C89" s="570" t="s">
        <v>802</v>
      </c>
      <c r="D89" s="571"/>
      <c r="E89" s="694">
        <v>2.248</v>
      </c>
      <c r="F89" s="694">
        <v>2.248</v>
      </c>
      <c r="G89" s="694">
        <v>0</v>
      </c>
      <c r="H89" s="688"/>
      <c r="I89" s="525"/>
      <c r="J89" s="525"/>
      <c r="K89" s="525"/>
      <c r="L89" s="525"/>
      <c r="M89" s="525"/>
      <c r="N89" s="525"/>
    </row>
  </sheetData>
  <sheetProtection/>
  <mergeCells count="11">
    <mergeCell ref="E28:F28"/>
    <mergeCell ref="C31:C32"/>
    <mergeCell ref="C33:C34"/>
    <mergeCell ref="C35:C37"/>
    <mergeCell ref="C44:C49"/>
    <mergeCell ref="C11:D11"/>
    <mergeCell ref="C12:D12"/>
    <mergeCell ref="C13:D13"/>
    <mergeCell ref="C14:D14"/>
    <mergeCell ref="C38:C43"/>
    <mergeCell ref="C50:C55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916" t="s">
        <v>603</v>
      </c>
      <c r="F1" s="911" t="s">
        <v>795</v>
      </c>
    </row>
    <row r="2" ht="12.75">
      <c r="A2" s="916"/>
    </row>
    <row r="3" ht="12.75">
      <c r="A3" s="916" t="s">
        <v>535</v>
      </c>
    </row>
    <row r="5" spans="1:13" ht="12.75">
      <c r="A5" s="798" t="s">
        <v>604</v>
      </c>
      <c r="B5" s="917"/>
      <c r="C5" s="917"/>
      <c r="D5" s="917"/>
      <c r="E5" s="917"/>
      <c r="F5" s="918"/>
      <c r="G5" s="918"/>
      <c r="H5" s="918"/>
      <c r="I5" s="918"/>
      <c r="J5" s="918"/>
      <c r="K5" s="918"/>
      <c r="L5" s="918"/>
      <c r="M5" s="918"/>
    </row>
    <row r="6" spans="1:13" ht="13.5" thickBot="1">
      <c r="A6" s="758"/>
      <c r="B6" s="919"/>
      <c r="C6" s="759"/>
      <c r="D6" s="760"/>
      <c r="E6" s="919"/>
      <c r="F6" s="919"/>
      <c r="G6" s="758"/>
      <c r="H6" s="758"/>
      <c r="I6" s="758"/>
      <c r="J6" s="758"/>
      <c r="K6" s="758"/>
      <c r="L6" s="758"/>
      <c r="M6" s="758"/>
    </row>
    <row r="7" spans="1:13" ht="13.5" thickBot="1">
      <c r="A7" s="918"/>
      <c r="B7" s="920"/>
      <c r="C7" s="799" t="s">
        <v>554</v>
      </c>
      <c r="D7" s="761"/>
      <c r="E7" s="921"/>
      <c r="F7" s="921"/>
      <c r="G7" s="921"/>
      <c r="H7" s="922"/>
      <c r="I7" s="923"/>
      <c r="J7" s="918"/>
      <c r="K7" s="918"/>
      <c r="L7" s="918"/>
      <c r="M7" s="918"/>
    </row>
    <row r="8" spans="1:13" ht="13.5" thickBot="1">
      <c r="A8" s="918"/>
      <c r="B8" s="924"/>
      <c r="C8" s="627"/>
      <c r="D8" s="627"/>
      <c r="E8" s="918"/>
      <c r="F8" s="918"/>
      <c r="G8" s="762" t="s">
        <v>555</v>
      </c>
      <c r="H8" s="762" t="s">
        <v>555</v>
      </c>
      <c r="I8" s="925"/>
      <c r="J8" s="918"/>
      <c r="K8" s="918"/>
      <c r="L8" s="918"/>
      <c r="M8" s="918"/>
    </row>
    <row r="9" spans="1:13" ht="12.75">
      <c r="A9" s="918"/>
      <c r="B9" s="926"/>
      <c r="C9" s="799" t="s">
        <v>556</v>
      </c>
      <c r="D9" s="627"/>
      <c r="E9" s="927"/>
      <c r="F9" s="918"/>
      <c r="G9" s="928"/>
      <c r="H9" s="763"/>
      <c r="I9" s="925"/>
      <c r="J9" s="918"/>
      <c r="K9" s="918"/>
      <c r="L9" s="918"/>
      <c r="M9" s="918"/>
    </row>
    <row r="10" spans="1:13" ht="12.75">
      <c r="A10" s="918"/>
      <c r="B10" s="764"/>
      <c r="C10" s="498"/>
      <c r="D10" s="513" t="s">
        <v>677</v>
      </c>
      <c r="E10" s="510"/>
      <c r="F10" s="758"/>
      <c r="G10" s="800">
        <v>8</v>
      </c>
      <c r="H10" s="801"/>
      <c r="I10" s="929"/>
      <c r="J10" s="930"/>
      <c r="K10" s="930"/>
      <c r="L10" s="930"/>
      <c r="M10" s="918"/>
    </row>
    <row r="11" spans="1:13" ht="12.75">
      <c r="A11" s="918"/>
      <c r="B11" s="764"/>
      <c r="C11" s="498"/>
      <c r="D11" s="513" t="s">
        <v>678</v>
      </c>
      <c r="E11" s="510"/>
      <c r="F11" s="758"/>
      <c r="G11" s="800">
        <v>0</v>
      </c>
      <c r="H11" s="801"/>
      <c r="I11" s="929"/>
      <c r="J11" s="930"/>
      <c r="K11" s="930"/>
      <c r="L11" s="930"/>
      <c r="M11" s="918"/>
    </row>
    <row r="12" spans="1:13" ht="12.75">
      <c r="A12" s="918"/>
      <c r="B12" s="764"/>
      <c r="C12" s="498"/>
      <c r="D12" s="513" t="s">
        <v>679</v>
      </c>
      <c r="E12" s="510"/>
      <c r="F12" s="765"/>
      <c r="G12" s="800">
        <v>20.1842268</v>
      </c>
      <c r="H12" s="801"/>
      <c r="I12" s="929"/>
      <c r="J12" s="930"/>
      <c r="K12" s="930"/>
      <c r="L12" s="930"/>
      <c r="M12" s="918"/>
    </row>
    <row r="13" spans="1:13" ht="12.75">
      <c r="A13" s="918"/>
      <c r="B13" s="764"/>
      <c r="C13" s="498"/>
      <c r="D13" s="513" t="s">
        <v>885</v>
      </c>
      <c r="E13" s="510"/>
      <c r="F13" s="765"/>
      <c r="G13" s="800">
        <v>1.45009349</v>
      </c>
      <c r="H13" s="801"/>
      <c r="I13" s="929"/>
      <c r="J13" s="930"/>
      <c r="K13" s="930"/>
      <c r="L13" s="930"/>
      <c r="M13" s="918"/>
    </row>
    <row r="14" spans="1:13" ht="12.75">
      <c r="A14" s="918"/>
      <c r="B14" s="764"/>
      <c r="C14" s="498"/>
      <c r="D14" s="802" t="s">
        <v>803</v>
      </c>
      <c r="E14" s="510"/>
      <c r="F14" s="765"/>
      <c r="G14" s="800">
        <v>0</v>
      </c>
      <c r="H14" s="801"/>
      <c r="I14" s="929"/>
      <c r="J14" s="930"/>
      <c r="K14" s="930"/>
      <c r="L14" s="930"/>
      <c r="M14" s="918"/>
    </row>
    <row r="15" spans="1:13" ht="12.75">
      <c r="A15" s="918"/>
      <c r="B15" s="764"/>
      <c r="C15" s="510"/>
      <c r="D15" s="802" t="s">
        <v>497</v>
      </c>
      <c r="E15" s="510"/>
      <c r="F15" s="758"/>
      <c r="G15" s="803">
        <v>0</v>
      </c>
      <c r="H15" s="801">
        <v>29.63432029</v>
      </c>
      <c r="I15" s="929"/>
      <c r="J15" s="930"/>
      <c r="K15" s="930"/>
      <c r="L15" s="930"/>
      <c r="M15" s="918"/>
    </row>
    <row r="16" spans="1:13" ht="12.75">
      <c r="A16" s="918"/>
      <c r="B16" s="764"/>
      <c r="C16" s="799" t="s">
        <v>680</v>
      </c>
      <c r="D16" s="802"/>
      <c r="E16" s="510"/>
      <c r="F16" s="758"/>
      <c r="G16" s="804"/>
      <c r="H16" s="805"/>
      <c r="I16" s="929"/>
      <c r="J16" s="930"/>
      <c r="K16" s="930"/>
      <c r="L16" s="930"/>
      <c r="M16" s="918"/>
    </row>
    <row r="17" spans="1:13" ht="12.75">
      <c r="A17" s="918"/>
      <c r="B17" s="764"/>
      <c r="C17" s="510"/>
      <c r="D17" s="802" t="s">
        <v>687</v>
      </c>
      <c r="E17" s="510"/>
      <c r="F17" s="758"/>
      <c r="G17" s="800">
        <v>0</v>
      </c>
      <c r="H17" s="801"/>
      <c r="I17" s="929"/>
      <c r="J17" s="930"/>
      <c r="K17" s="930"/>
      <c r="L17" s="930"/>
      <c r="M17" s="918"/>
    </row>
    <row r="18" spans="1:13" ht="12.75">
      <c r="A18" s="918"/>
      <c r="B18" s="764"/>
      <c r="C18" s="510"/>
      <c r="D18" s="802" t="s">
        <v>781</v>
      </c>
      <c r="E18" s="510"/>
      <c r="F18" s="758"/>
      <c r="G18" s="800">
        <v>0.6866424200000001</v>
      </c>
      <c r="H18" s="801"/>
      <c r="I18" s="929"/>
      <c r="J18" s="930"/>
      <c r="K18" s="930"/>
      <c r="L18" s="930"/>
      <c r="M18" s="918"/>
    </row>
    <row r="19" spans="1:13" ht="12.75">
      <c r="A19" s="918"/>
      <c r="B19" s="764"/>
      <c r="C19" s="510"/>
      <c r="D19" s="802" t="s">
        <v>782</v>
      </c>
      <c r="E19" s="510"/>
      <c r="F19" s="758"/>
      <c r="G19" s="803">
        <v>0.3124500566</v>
      </c>
      <c r="H19" s="801">
        <v>0.9990924766000001</v>
      </c>
      <c r="I19" s="929"/>
      <c r="J19" s="930"/>
      <c r="K19" s="930"/>
      <c r="L19" s="930"/>
      <c r="M19" s="918"/>
    </row>
    <row r="20" spans="1:13" ht="12.75">
      <c r="A20" s="918"/>
      <c r="B20" s="764"/>
      <c r="C20" s="799" t="s">
        <v>607</v>
      </c>
      <c r="D20" s="802"/>
      <c r="E20" s="510"/>
      <c r="F20" s="758"/>
      <c r="G20" s="804"/>
      <c r="H20" s="805"/>
      <c r="I20" s="929"/>
      <c r="J20" s="930"/>
      <c r="K20" s="930"/>
      <c r="L20" s="930"/>
      <c r="M20" s="918"/>
    </row>
    <row r="21" spans="1:13" ht="12.75">
      <c r="A21" s="918"/>
      <c r="B21" s="764"/>
      <c r="C21" s="510"/>
      <c r="D21" s="802" t="s">
        <v>755</v>
      </c>
      <c r="E21" s="510"/>
      <c r="F21" s="758"/>
      <c r="G21" s="800">
        <v>0.0007889699999997779</v>
      </c>
      <c r="H21" s="801"/>
      <c r="I21" s="929"/>
      <c r="J21" s="930"/>
      <c r="K21" s="930"/>
      <c r="L21" s="930"/>
      <c r="M21" s="918"/>
    </row>
    <row r="22" spans="1:13" ht="12.75">
      <c r="A22" s="918"/>
      <c r="B22" s="764"/>
      <c r="C22" s="510"/>
      <c r="D22" s="513" t="s">
        <v>756</v>
      </c>
      <c r="E22" s="510"/>
      <c r="F22" s="758"/>
      <c r="G22" s="800">
        <v>36.1304654503</v>
      </c>
      <c r="H22" s="801"/>
      <c r="I22" s="929"/>
      <c r="J22" s="930"/>
      <c r="K22" s="930"/>
      <c r="L22" s="930"/>
      <c r="M22" s="918"/>
    </row>
    <row r="23" spans="1:13" ht="12.75">
      <c r="A23" s="918"/>
      <c r="B23" s="764"/>
      <c r="C23" s="510"/>
      <c r="D23" s="931" t="s">
        <v>757</v>
      </c>
      <c r="E23" s="510"/>
      <c r="F23" s="765"/>
      <c r="G23" s="803">
        <v>7.62</v>
      </c>
      <c r="H23" s="801">
        <v>43.7512544203</v>
      </c>
      <c r="I23" s="929"/>
      <c r="J23" s="930"/>
      <c r="K23" s="930"/>
      <c r="L23" s="930"/>
      <c r="M23" s="918"/>
    </row>
    <row r="24" spans="1:13" ht="12.75">
      <c r="A24" s="918"/>
      <c r="B24" s="764"/>
      <c r="C24" s="510"/>
      <c r="D24" s="513"/>
      <c r="E24" s="927"/>
      <c r="F24" s="765"/>
      <c r="G24" s="804"/>
      <c r="H24" s="805"/>
      <c r="I24" s="929"/>
      <c r="J24" s="930"/>
      <c r="K24" s="930"/>
      <c r="L24" s="930"/>
      <c r="M24" s="918"/>
    </row>
    <row r="25" spans="1:13" ht="13.5" thickBot="1">
      <c r="A25" s="918"/>
      <c r="B25" s="739"/>
      <c r="C25" s="758"/>
      <c r="D25" s="513"/>
      <c r="E25" s="806" t="s">
        <v>638</v>
      </c>
      <c r="F25" s="919"/>
      <c r="G25" s="807"/>
      <c r="H25" s="808">
        <v>74.3846671869</v>
      </c>
      <c r="I25" s="929"/>
      <c r="J25" s="930"/>
      <c r="K25" s="930"/>
      <c r="L25" s="930"/>
      <c r="M25" s="918"/>
    </row>
    <row r="26" spans="1:13" ht="13.5" thickBot="1">
      <c r="A26" s="918"/>
      <c r="B26" s="932"/>
      <c r="C26" s="933"/>
      <c r="D26" s="933"/>
      <c r="E26" s="933"/>
      <c r="F26" s="934"/>
      <c r="G26" s="935"/>
      <c r="H26" s="935"/>
      <c r="I26" s="936"/>
      <c r="J26" s="930"/>
      <c r="K26" s="930"/>
      <c r="L26" s="930"/>
      <c r="M26" s="918"/>
    </row>
    <row r="27" spans="1:13" ht="13.5" thickBot="1">
      <c r="A27" s="918"/>
      <c r="B27" s="919"/>
      <c r="C27" s="921"/>
      <c r="D27" s="918"/>
      <c r="E27" s="806"/>
      <c r="F27" s="919"/>
      <c r="G27" s="930"/>
      <c r="H27" s="930"/>
      <c r="I27" s="930"/>
      <c r="J27" s="930"/>
      <c r="K27" s="930"/>
      <c r="L27" s="930"/>
      <c r="M27" s="918"/>
    </row>
    <row r="28" spans="1:13" ht="12.75">
      <c r="A28" s="918"/>
      <c r="B28" s="920"/>
      <c r="C28" s="809" t="s">
        <v>639</v>
      </c>
      <c r="D28" s="921"/>
      <c r="E28" s="921"/>
      <c r="F28" s="937"/>
      <c r="G28" s="783"/>
      <c r="H28" s="938"/>
      <c r="I28" s="938"/>
      <c r="J28" s="938"/>
      <c r="K28" s="938"/>
      <c r="L28" s="938"/>
      <c r="M28" s="923"/>
    </row>
    <row r="29" spans="1:13" ht="13.5" thickBot="1">
      <c r="A29" s="918"/>
      <c r="B29" s="924"/>
      <c r="C29" s="918"/>
      <c r="D29" s="799" t="s">
        <v>640</v>
      </c>
      <c r="E29" s="799"/>
      <c r="F29" s="758"/>
      <c r="G29" s="766"/>
      <c r="H29" s="766"/>
      <c r="I29" s="930"/>
      <c r="J29" s="930"/>
      <c r="K29" s="930"/>
      <c r="L29" s="930"/>
      <c r="M29" s="925"/>
    </row>
    <row r="30" spans="1:13" ht="13.5" thickBot="1">
      <c r="A30" s="918"/>
      <c r="B30" s="939"/>
      <c r="C30" s="918"/>
      <c r="D30" s="765"/>
      <c r="E30" s="510" t="s">
        <v>641</v>
      </c>
      <c r="F30" s="765"/>
      <c r="G30" s="767" t="s">
        <v>555</v>
      </c>
      <c r="H30" s="516"/>
      <c r="I30" s="930"/>
      <c r="J30" s="930"/>
      <c r="K30" s="930"/>
      <c r="L30" s="930"/>
      <c r="M30" s="925"/>
    </row>
    <row r="31" spans="1:13" ht="12.75">
      <c r="A31" s="918"/>
      <c r="B31" s="939"/>
      <c r="C31" s="918"/>
      <c r="D31" s="765"/>
      <c r="E31" s="810" t="s">
        <v>642</v>
      </c>
      <c r="F31" s="918"/>
      <c r="G31" s="811"/>
      <c r="H31" s="516"/>
      <c r="I31" s="930"/>
      <c r="J31" s="930"/>
      <c r="K31" s="930"/>
      <c r="L31" s="930"/>
      <c r="M31" s="925"/>
    </row>
    <row r="32" spans="1:13" ht="12.75">
      <c r="A32" s="918"/>
      <c r="B32" s="939"/>
      <c r="C32" s="918"/>
      <c r="D32" s="765"/>
      <c r="E32" s="810" t="s">
        <v>643</v>
      </c>
      <c r="F32" s="918"/>
      <c r="G32" s="811">
        <v>-0.50689503</v>
      </c>
      <c r="H32" s="516"/>
      <c r="I32" s="930"/>
      <c r="J32" s="930"/>
      <c r="K32" s="930"/>
      <c r="L32" s="930"/>
      <c r="M32" s="925"/>
    </row>
    <row r="33" spans="1:13" ht="12.75">
      <c r="A33" s="758"/>
      <c r="B33" s="768"/>
      <c r="C33" s="758"/>
      <c r="D33" s="765"/>
      <c r="E33" s="810" t="s">
        <v>589</v>
      </c>
      <c r="F33" s="758"/>
      <c r="G33" s="811">
        <v>-0.17633337</v>
      </c>
      <c r="H33" s="516"/>
      <c r="I33" s="766"/>
      <c r="J33" s="766"/>
      <c r="K33" s="766"/>
      <c r="L33" s="766"/>
      <c r="M33" s="769"/>
    </row>
    <row r="34" spans="1:13" ht="13.5" thickBot="1">
      <c r="A34" s="758"/>
      <c r="B34" s="768"/>
      <c r="C34" s="758"/>
      <c r="D34" s="765"/>
      <c r="E34" s="812" t="s">
        <v>816</v>
      </c>
      <c r="F34" s="765"/>
      <c r="G34" s="813">
        <v>-0.6832284</v>
      </c>
      <c r="H34" s="516"/>
      <c r="I34" s="766"/>
      <c r="J34" s="766"/>
      <c r="K34" s="766"/>
      <c r="L34" s="766"/>
      <c r="M34" s="769"/>
    </row>
    <row r="35" spans="1:13" ht="13.5" thickTop="1">
      <c r="A35" s="758"/>
      <c r="B35" s="768"/>
      <c r="C35" s="760"/>
      <c r="D35" s="765"/>
      <c r="E35" s="765"/>
      <c r="F35" s="765"/>
      <c r="G35" s="516"/>
      <c r="H35" s="516"/>
      <c r="I35" s="766"/>
      <c r="J35" s="766"/>
      <c r="K35" s="766"/>
      <c r="L35" s="766"/>
      <c r="M35" s="769"/>
    </row>
    <row r="36" spans="1:13" ht="38.25">
      <c r="A36" s="758"/>
      <c r="B36" s="739"/>
      <c r="C36" s="765"/>
      <c r="D36" s="765"/>
      <c r="E36" s="814" t="s">
        <v>672</v>
      </c>
      <c r="F36" s="758"/>
      <c r="G36" s="815" t="s">
        <v>654</v>
      </c>
      <c r="H36" s="815" t="s">
        <v>655</v>
      </c>
      <c r="I36" s="815" t="s">
        <v>517</v>
      </c>
      <c r="J36" s="815" t="s">
        <v>657</v>
      </c>
      <c r="K36" s="816" t="s">
        <v>206</v>
      </c>
      <c r="L36" s="817" t="s">
        <v>658</v>
      </c>
      <c r="M36" s="769"/>
    </row>
    <row r="37" spans="1:13" ht="12.75">
      <c r="A37" s="758"/>
      <c r="B37" s="739"/>
      <c r="C37" s="765"/>
      <c r="D37" s="765"/>
      <c r="E37" s="818" t="s">
        <v>659</v>
      </c>
      <c r="F37" s="758"/>
      <c r="G37" s="819" t="s">
        <v>660</v>
      </c>
      <c r="H37" s="819" t="s">
        <v>660</v>
      </c>
      <c r="I37" s="819" t="s">
        <v>660</v>
      </c>
      <c r="J37" s="819" t="s">
        <v>660</v>
      </c>
      <c r="K37" s="820" t="s">
        <v>660</v>
      </c>
      <c r="L37" s="819"/>
      <c r="M37" s="769"/>
    </row>
    <row r="38" spans="1:13" ht="12.75">
      <c r="A38" s="758"/>
      <c r="B38" s="739"/>
      <c r="C38" s="765"/>
      <c r="D38" s="765"/>
      <c r="E38" s="821"/>
      <c r="F38" s="758"/>
      <c r="G38" s="822">
        <v>1.54071601</v>
      </c>
      <c r="H38" s="822">
        <v>0.86561201</v>
      </c>
      <c r="I38" s="823">
        <v>0.6751039999999999</v>
      </c>
      <c r="J38" s="822"/>
      <c r="K38" s="823">
        <v>0.6751039999999999</v>
      </c>
      <c r="L38" s="824"/>
      <c r="M38" s="769"/>
    </row>
    <row r="39" spans="1:13" ht="12.75">
      <c r="A39" s="758"/>
      <c r="B39" s="739"/>
      <c r="C39" s="765"/>
      <c r="D39" s="765"/>
      <c r="E39" s="821"/>
      <c r="F39" s="758"/>
      <c r="G39" s="822">
        <v>1.36656172</v>
      </c>
      <c r="H39" s="822">
        <v>1.35764835</v>
      </c>
      <c r="I39" s="823">
        <v>0.00891336999999992</v>
      </c>
      <c r="J39" s="822">
        <v>0.17633337</v>
      </c>
      <c r="K39" s="823">
        <v>-0.16742000000000007</v>
      </c>
      <c r="L39" s="821"/>
      <c r="M39" s="769"/>
    </row>
    <row r="40" spans="1:13" ht="12.75">
      <c r="A40" s="758"/>
      <c r="B40" s="739"/>
      <c r="C40" s="765"/>
      <c r="D40" s="765"/>
      <c r="E40" s="821"/>
      <c r="F40" s="758"/>
      <c r="G40" s="822"/>
      <c r="H40" s="822"/>
      <c r="I40" s="823">
        <v>0</v>
      </c>
      <c r="J40" s="822">
        <v>0.50689503</v>
      </c>
      <c r="K40" s="823">
        <v>-0.50689503</v>
      </c>
      <c r="L40" s="821"/>
      <c r="M40" s="769"/>
    </row>
    <row r="41" spans="1:13" ht="12.75">
      <c r="A41" s="758"/>
      <c r="B41" s="739"/>
      <c r="C41" s="765"/>
      <c r="D41" s="765"/>
      <c r="E41" s="821"/>
      <c r="F41" s="758"/>
      <c r="G41" s="822"/>
      <c r="H41" s="822"/>
      <c r="I41" s="823">
        <v>0</v>
      </c>
      <c r="J41" s="822"/>
      <c r="K41" s="823">
        <v>0</v>
      </c>
      <c r="L41" s="821"/>
      <c r="M41" s="769"/>
    </row>
    <row r="42" spans="1:13" ht="12.75">
      <c r="A42" s="758"/>
      <c r="B42" s="739"/>
      <c r="C42" s="765"/>
      <c r="D42" s="765"/>
      <c r="E42" s="821"/>
      <c r="F42" s="758"/>
      <c r="G42" s="822"/>
      <c r="H42" s="822"/>
      <c r="I42" s="823">
        <v>0</v>
      </c>
      <c r="J42" s="822"/>
      <c r="K42" s="823">
        <v>0</v>
      </c>
      <c r="L42" s="821"/>
      <c r="M42" s="769"/>
    </row>
    <row r="43" spans="1:13" ht="12.75">
      <c r="A43" s="758"/>
      <c r="B43" s="739"/>
      <c r="C43" s="765"/>
      <c r="D43" s="765"/>
      <c r="E43" s="821"/>
      <c r="F43" s="758"/>
      <c r="G43" s="822"/>
      <c r="H43" s="822"/>
      <c r="I43" s="823">
        <v>0</v>
      </c>
      <c r="J43" s="822"/>
      <c r="K43" s="823">
        <v>0</v>
      </c>
      <c r="L43" s="821"/>
      <c r="M43" s="769"/>
    </row>
    <row r="44" spans="1:13" ht="12.75">
      <c r="A44" s="758"/>
      <c r="B44" s="739"/>
      <c r="C44" s="765"/>
      <c r="D44" s="765"/>
      <c r="E44" s="821"/>
      <c r="F44" s="758"/>
      <c r="G44" s="822"/>
      <c r="H44" s="822"/>
      <c r="I44" s="823">
        <v>0</v>
      </c>
      <c r="J44" s="822"/>
      <c r="K44" s="823">
        <v>0</v>
      </c>
      <c r="L44" s="821"/>
      <c r="M44" s="769"/>
    </row>
    <row r="45" spans="1:13" ht="12.75">
      <c r="A45" s="758"/>
      <c r="B45" s="739"/>
      <c r="C45" s="765"/>
      <c r="D45" s="765"/>
      <c r="E45" s="821"/>
      <c r="F45" s="758"/>
      <c r="G45" s="822"/>
      <c r="H45" s="822"/>
      <c r="I45" s="823">
        <v>0</v>
      </c>
      <c r="J45" s="822"/>
      <c r="K45" s="823">
        <v>0</v>
      </c>
      <c r="L45" s="821"/>
      <c r="M45" s="769"/>
    </row>
    <row r="46" spans="1:13" ht="12.75">
      <c r="A46" s="758"/>
      <c r="B46" s="739"/>
      <c r="C46" s="765"/>
      <c r="D46" s="765"/>
      <c r="E46" s="821"/>
      <c r="F46" s="758"/>
      <c r="G46" s="822"/>
      <c r="H46" s="822"/>
      <c r="I46" s="823">
        <v>0</v>
      </c>
      <c r="J46" s="822"/>
      <c r="K46" s="823">
        <v>0</v>
      </c>
      <c r="L46" s="821"/>
      <c r="M46" s="769"/>
    </row>
    <row r="47" spans="1:13" ht="12.75">
      <c r="A47" s="758"/>
      <c r="B47" s="739"/>
      <c r="C47" s="765"/>
      <c r="D47" s="765"/>
      <c r="E47" s="821"/>
      <c r="F47" s="758"/>
      <c r="G47" s="822"/>
      <c r="H47" s="822"/>
      <c r="I47" s="823">
        <v>0</v>
      </c>
      <c r="J47" s="822"/>
      <c r="K47" s="823">
        <v>0</v>
      </c>
      <c r="L47" s="821"/>
      <c r="M47" s="769"/>
    </row>
    <row r="48" spans="1:13" ht="12.75">
      <c r="A48" s="758"/>
      <c r="B48" s="739"/>
      <c r="C48" s="765"/>
      <c r="D48" s="765"/>
      <c r="E48" s="821"/>
      <c r="F48" s="758"/>
      <c r="G48" s="822"/>
      <c r="H48" s="822"/>
      <c r="I48" s="823">
        <v>0</v>
      </c>
      <c r="J48" s="822"/>
      <c r="K48" s="823">
        <v>0</v>
      </c>
      <c r="L48" s="821"/>
      <c r="M48" s="769"/>
    </row>
    <row r="49" spans="1:13" ht="12.75">
      <c r="A49" s="758"/>
      <c r="B49" s="739"/>
      <c r="C49" s="765"/>
      <c r="D49" s="765"/>
      <c r="E49" s="821"/>
      <c r="F49" s="758"/>
      <c r="G49" s="822"/>
      <c r="H49" s="822"/>
      <c r="I49" s="823">
        <v>0</v>
      </c>
      <c r="J49" s="822"/>
      <c r="K49" s="823">
        <v>0</v>
      </c>
      <c r="L49" s="821"/>
      <c r="M49" s="769"/>
    </row>
    <row r="50" spans="1:13" ht="12.75">
      <c r="A50" s="758"/>
      <c r="B50" s="739"/>
      <c r="C50" s="765"/>
      <c r="D50" s="765"/>
      <c r="E50" s="821"/>
      <c r="F50" s="758"/>
      <c r="G50" s="822"/>
      <c r="H50" s="822"/>
      <c r="I50" s="823">
        <v>0</v>
      </c>
      <c r="J50" s="822"/>
      <c r="K50" s="823">
        <v>0</v>
      </c>
      <c r="L50" s="825"/>
      <c r="M50" s="769"/>
    </row>
    <row r="51" spans="1:13" ht="12.75">
      <c r="A51" s="758"/>
      <c r="B51" s="739"/>
      <c r="C51" s="765"/>
      <c r="D51" s="765"/>
      <c r="E51" s="826" t="s">
        <v>816</v>
      </c>
      <c r="F51" s="758"/>
      <c r="G51" s="827">
        <v>2.9072777299999997</v>
      </c>
      <c r="H51" s="827">
        <v>2.2232603600000003</v>
      </c>
      <c r="I51" s="827">
        <v>0.6840173699999998</v>
      </c>
      <c r="J51" s="827">
        <v>0.6832284</v>
      </c>
      <c r="K51" s="827">
        <v>0.0007889699999997779</v>
      </c>
      <c r="L51" s="758"/>
      <c r="M51" s="769"/>
    </row>
    <row r="52" spans="1:13" ht="12.75">
      <c r="A52" s="758"/>
      <c r="B52" s="739"/>
      <c r="C52" s="765"/>
      <c r="D52" s="765"/>
      <c r="E52" s="765"/>
      <c r="F52" s="765"/>
      <c r="G52" s="758"/>
      <c r="H52" s="758"/>
      <c r="I52" s="758"/>
      <c r="J52" s="770" t="s">
        <v>502</v>
      </c>
      <c r="K52" s="770" t="s">
        <v>502</v>
      </c>
      <c r="L52" s="758"/>
      <c r="M52" s="769"/>
    </row>
    <row r="53" spans="1:13" ht="13.5" thickBot="1">
      <c r="A53" s="758"/>
      <c r="B53" s="739"/>
      <c r="C53" s="765"/>
      <c r="D53" s="765"/>
      <c r="E53" s="765"/>
      <c r="F53" s="765"/>
      <c r="G53" s="758"/>
      <c r="H53" s="758"/>
      <c r="I53" s="758"/>
      <c r="J53" s="758"/>
      <c r="K53" s="758"/>
      <c r="L53" s="758"/>
      <c r="M53" s="769"/>
    </row>
    <row r="54" spans="1:13" ht="13.5" thickBot="1">
      <c r="A54" s="758"/>
      <c r="B54" s="739"/>
      <c r="C54" s="828"/>
      <c r="D54" s="799" t="s">
        <v>503</v>
      </c>
      <c r="E54" s="778"/>
      <c r="F54" s="758"/>
      <c r="G54" s="767" t="s">
        <v>660</v>
      </c>
      <c r="H54" s="767" t="s">
        <v>660</v>
      </c>
      <c r="I54" s="758"/>
      <c r="J54" s="766"/>
      <c r="K54" s="766"/>
      <c r="L54" s="766"/>
      <c r="M54" s="771"/>
    </row>
    <row r="55" spans="1:13" ht="26.25" thickBot="1">
      <c r="A55" s="758"/>
      <c r="B55" s="739"/>
      <c r="C55" s="765"/>
      <c r="D55" s="758"/>
      <c r="E55" s="758"/>
      <c r="F55" s="758"/>
      <c r="G55" s="772"/>
      <c r="H55" s="773" t="s">
        <v>504</v>
      </c>
      <c r="I55" s="758"/>
      <c r="J55" s="766"/>
      <c r="K55" s="766"/>
      <c r="L55" s="766"/>
      <c r="M55" s="771"/>
    </row>
    <row r="56" spans="1:13" ht="12.75">
      <c r="A56" s="758"/>
      <c r="B56" s="739"/>
      <c r="C56" s="765"/>
      <c r="D56" s="758"/>
      <c r="E56" s="778" t="s">
        <v>505</v>
      </c>
      <c r="F56" s="758"/>
      <c r="G56" s="811"/>
      <c r="H56" s="829"/>
      <c r="I56" s="758"/>
      <c r="J56" s="766"/>
      <c r="K56" s="766"/>
      <c r="L56" s="766"/>
      <c r="M56" s="771"/>
    </row>
    <row r="57" spans="1:13" ht="13.5" thickBot="1">
      <c r="A57" s="758"/>
      <c r="B57" s="739"/>
      <c r="C57" s="765"/>
      <c r="D57" s="758"/>
      <c r="E57" s="778" t="s">
        <v>506</v>
      </c>
      <c r="F57" s="758"/>
      <c r="G57" s="811"/>
      <c r="H57" s="830"/>
      <c r="I57" s="758"/>
      <c r="J57" s="766"/>
      <c r="K57" s="766"/>
      <c r="L57" s="766"/>
      <c r="M57" s="771"/>
    </row>
    <row r="58" spans="1:13" ht="13.5" thickBot="1">
      <c r="A58" s="758"/>
      <c r="B58" s="739"/>
      <c r="C58" s="765"/>
      <c r="D58" s="765"/>
      <c r="E58" s="812" t="s">
        <v>507</v>
      </c>
      <c r="F58" s="758"/>
      <c r="G58" s="831">
        <v>0</v>
      </c>
      <c r="H58" s="766"/>
      <c r="I58" s="758"/>
      <c r="J58" s="766"/>
      <c r="K58" s="766"/>
      <c r="L58" s="766"/>
      <c r="M58" s="771"/>
    </row>
    <row r="59" spans="1:13" ht="14.25" thickBot="1" thickTop="1">
      <c r="A59" s="758"/>
      <c r="B59" s="739"/>
      <c r="C59" s="765"/>
      <c r="D59" s="765"/>
      <c r="E59" s="812"/>
      <c r="F59" s="758"/>
      <c r="G59" s="766"/>
      <c r="H59" s="766"/>
      <c r="I59" s="758"/>
      <c r="J59" s="766"/>
      <c r="K59" s="766"/>
      <c r="L59" s="766"/>
      <c r="M59" s="771"/>
    </row>
    <row r="60" spans="1:13" ht="66" customHeight="1" thickBot="1">
      <c r="A60" s="758"/>
      <c r="B60" s="739"/>
      <c r="C60" s="765"/>
      <c r="D60" s="1570" t="s">
        <v>612</v>
      </c>
      <c r="E60" s="1570"/>
      <c r="F60" s="758"/>
      <c r="G60" s="774" t="s">
        <v>816</v>
      </c>
      <c r="H60" s="775" t="s">
        <v>613</v>
      </c>
      <c r="I60" s="775" t="s">
        <v>614</v>
      </c>
      <c r="J60" s="775" t="s">
        <v>615</v>
      </c>
      <c r="K60" s="775" t="s">
        <v>616</v>
      </c>
      <c r="L60" s="766"/>
      <c r="M60" s="769"/>
    </row>
    <row r="61" spans="1:13" ht="13.5" thickBot="1">
      <c r="A61" s="758"/>
      <c r="B61" s="768"/>
      <c r="C61" s="760"/>
      <c r="D61" s="799"/>
      <c r="E61" s="498"/>
      <c r="F61" s="765"/>
      <c r="G61" s="767" t="s">
        <v>660</v>
      </c>
      <c r="H61" s="767" t="s">
        <v>660</v>
      </c>
      <c r="I61" s="767" t="s">
        <v>660</v>
      </c>
      <c r="J61" s="767" t="s">
        <v>660</v>
      </c>
      <c r="K61" s="767" t="s">
        <v>660</v>
      </c>
      <c r="L61" s="766"/>
      <c r="M61" s="769"/>
    </row>
    <row r="62" spans="1:13" ht="12.75">
      <c r="A62" s="758"/>
      <c r="B62" s="768"/>
      <c r="C62" s="760"/>
      <c r="D62" s="510"/>
      <c r="E62" s="498" t="s">
        <v>617</v>
      </c>
      <c r="F62" s="765"/>
      <c r="G62" s="832">
        <v>0</v>
      </c>
      <c r="H62" s="833"/>
      <c r="I62" s="834"/>
      <c r="J62" s="834"/>
      <c r="K62" s="835"/>
      <c r="L62" s="766"/>
      <c r="M62" s="769"/>
    </row>
    <row r="63" spans="1:13" ht="13.5" thickBot="1">
      <c r="A63" s="758"/>
      <c r="B63" s="768"/>
      <c r="C63" s="760"/>
      <c r="D63" s="510"/>
      <c r="E63" s="498" t="s">
        <v>842</v>
      </c>
      <c r="F63" s="765"/>
      <c r="G63" s="836">
        <v>0</v>
      </c>
      <c r="H63" s="837"/>
      <c r="I63" s="838"/>
      <c r="J63" s="838"/>
      <c r="K63" s="839"/>
      <c r="L63" s="766"/>
      <c r="M63" s="769"/>
    </row>
    <row r="64" spans="1:13" ht="13.5" thickBot="1">
      <c r="A64" s="758"/>
      <c r="B64" s="768"/>
      <c r="C64" s="760"/>
      <c r="D64" s="765"/>
      <c r="E64" s="765"/>
      <c r="F64" s="765"/>
      <c r="G64" s="516"/>
      <c r="H64" s="516"/>
      <c r="I64" s="766"/>
      <c r="J64" s="766"/>
      <c r="K64" s="766"/>
      <c r="L64" s="766"/>
      <c r="M64" s="769"/>
    </row>
    <row r="65" spans="1:13" ht="80.25" customHeight="1" thickBot="1">
      <c r="A65" s="758"/>
      <c r="B65" s="739"/>
      <c r="C65" s="765"/>
      <c r="D65" s="1570" t="s">
        <v>543</v>
      </c>
      <c r="E65" s="1570"/>
      <c r="F65" s="758"/>
      <c r="G65" s="776" t="s">
        <v>816</v>
      </c>
      <c r="H65" s="777" t="s">
        <v>403</v>
      </c>
      <c r="I65" s="777" t="s">
        <v>763</v>
      </c>
      <c r="J65" s="777" t="s">
        <v>764</v>
      </c>
      <c r="K65" s="777" t="s">
        <v>765</v>
      </c>
      <c r="L65" s="777" t="s">
        <v>766</v>
      </c>
      <c r="M65" s="769"/>
    </row>
    <row r="66" spans="1:13" ht="13.5" thickBot="1">
      <c r="A66" s="758"/>
      <c r="B66" s="739"/>
      <c r="C66" s="765"/>
      <c r="D66" s="778"/>
      <c r="E66" s="758"/>
      <c r="F66" s="758"/>
      <c r="G66" s="767" t="s">
        <v>660</v>
      </c>
      <c r="H66" s="767" t="s">
        <v>660</v>
      </c>
      <c r="I66" s="767" t="s">
        <v>660</v>
      </c>
      <c r="J66" s="767" t="s">
        <v>660</v>
      </c>
      <c r="K66" s="767" t="s">
        <v>660</v>
      </c>
      <c r="L66" s="767" t="s">
        <v>660</v>
      </c>
      <c r="M66" s="769"/>
    </row>
    <row r="67" spans="1:13" ht="12.75">
      <c r="A67" s="758"/>
      <c r="B67" s="739"/>
      <c r="C67" s="765"/>
      <c r="D67" s="778"/>
      <c r="E67" s="931" t="s">
        <v>767</v>
      </c>
      <c r="F67" s="758"/>
      <c r="G67" s="511">
        <v>0.7259380000000001</v>
      </c>
      <c r="H67" s="514">
        <v>0.517386</v>
      </c>
      <c r="I67" s="840">
        <v>0.09990199999999999</v>
      </c>
      <c r="J67" s="840">
        <v>0.10865</v>
      </c>
      <c r="K67" s="515"/>
      <c r="L67" s="841"/>
      <c r="M67" s="769"/>
    </row>
    <row r="68" spans="1:13" ht="12.75">
      <c r="A68" s="758"/>
      <c r="B68" s="739"/>
      <c r="C68" s="765"/>
      <c r="D68" s="758"/>
      <c r="E68" s="778" t="s">
        <v>621</v>
      </c>
      <c r="F68" s="758"/>
      <c r="G68" s="511">
        <v>0</v>
      </c>
      <c r="H68" s="514"/>
      <c r="I68" s="840"/>
      <c r="J68" s="840"/>
      <c r="K68" s="515"/>
      <c r="L68" s="841"/>
      <c r="M68" s="769"/>
    </row>
    <row r="69" spans="1:13" ht="12.75">
      <c r="A69" s="758"/>
      <c r="B69" s="739"/>
      <c r="C69" s="765"/>
      <c r="D69" s="758"/>
      <c r="E69" s="778" t="s">
        <v>622</v>
      </c>
      <c r="F69" s="758"/>
      <c r="G69" s="511">
        <v>0</v>
      </c>
      <c r="H69" s="514"/>
      <c r="I69" s="840"/>
      <c r="J69" s="840"/>
      <c r="K69" s="515"/>
      <c r="L69" s="841"/>
      <c r="M69" s="769"/>
    </row>
    <row r="70" spans="1:13" ht="12.75">
      <c r="A70" s="758"/>
      <c r="B70" s="739"/>
      <c r="C70" s="765"/>
      <c r="D70" s="758"/>
      <c r="E70" s="778" t="s">
        <v>623</v>
      </c>
      <c r="F70" s="758"/>
      <c r="G70" s="511">
        <v>0</v>
      </c>
      <c r="H70" s="842"/>
      <c r="I70" s="843"/>
      <c r="J70" s="843"/>
      <c r="K70" s="844"/>
      <c r="L70" s="845"/>
      <c r="M70" s="769"/>
    </row>
    <row r="71" spans="1:13" ht="13.5" thickBot="1">
      <c r="A71" s="758"/>
      <c r="B71" s="739"/>
      <c r="C71" s="765"/>
      <c r="D71" s="765"/>
      <c r="E71" s="812" t="s">
        <v>624</v>
      </c>
      <c r="F71" s="758"/>
      <c r="G71" s="846">
        <v>0.7259380000000001</v>
      </c>
      <c r="H71" s="846">
        <v>0.517386</v>
      </c>
      <c r="I71" s="846">
        <v>0.09990199999999999</v>
      </c>
      <c r="J71" s="846">
        <v>0.10865</v>
      </c>
      <c r="K71" s="846">
        <v>0</v>
      </c>
      <c r="L71" s="846">
        <v>0</v>
      </c>
      <c r="M71" s="769"/>
    </row>
    <row r="72" spans="1:13" ht="13.5" thickBot="1">
      <c r="A72" s="758"/>
      <c r="B72" s="779"/>
      <c r="C72" s="780"/>
      <c r="D72" s="780"/>
      <c r="E72" s="847"/>
      <c r="F72" s="781"/>
      <c r="G72" s="847"/>
      <c r="H72" s="848" t="s">
        <v>502</v>
      </c>
      <c r="I72" s="849" t="s">
        <v>502</v>
      </c>
      <c r="J72" s="849" t="s">
        <v>502</v>
      </c>
      <c r="K72" s="849" t="s">
        <v>502</v>
      </c>
      <c r="L72" s="849" t="s">
        <v>502</v>
      </c>
      <c r="M72" s="850"/>
    </row>
    <row r="73" spans="1:13" ht="13.5" thickBot="1">
      <c r="A73" s="758"/>
      <c r="B73" s="758"/>
      <c r="C73" s="781"/>
      <c r="D73" s="758"/>
      <c r="E73" s="758"/>
      <c r="F73" s="758"/>
      <c r="G73" s="766"/>
      <c r="H73" s="766"/>
      <c r="I73" s="766"/>
      <c r="J73" s="766"/>
      <c r="K73" s="766"/>
      <c r="L73" s="766"/>
      <c r="M73" s="758"/>
    </row>
    <row r="74" spans="1:13" ht="12.75">
      <c r="A74" s="758"/>
      <c r="B74" s="920"/>
      <c r="C74" s="799" t="s">
        <v>477</v>
      </c>
      <c r="D74" s="921"/>
      <c r="E74" s="782"/>
      <c r="F74" s="921"/>
      <c r="G74" s="938"/>
      <c r="H74" s="938"/>
      <c r="I74" s="783"/>
      <c r="J74" s="783"/>
      <c r="K74" s="783"/>
      <c r="L74" s="783"/>
      <c r="M74" s="784"/>
    </row>
    <row r="75" spans="1:13" ht="13.5" thickBot="1">
      <c r="A75" s="758"/>
      <c r="B75" s="924"/>
      <c r="C75" s="828"/>
      <c r="D75" s="918"/>
      <c r="E75" s="785"/>
      <c r="F75" s="918"/>
      <c r="G75" s="930"/>
      <c r="H75" s="930"/>
      <c r="I75" s="766"/>
      <c r="J75" s="766"/>
      <c r="K75" s="766"/>
      <c r="L75" s="766"/>
      <c r="M75" s="769"/>
    </row>
    <row r="76" spans="1:13" ht="80.25" customHeight="1" thickBot="1">
      <c r="A76" s="758"/>
      <c r="B76" s="739"/>
      <c r="C76" s="765"/>
      <c r="D76" s="1570" t="s">
        <v>608</v>
      </c>
      <c r="E76" s="1570"/>
      <c r="F76" s="758"/>
      <c r="G76" s="776" t="s">
        <v>816</v>
      </c>
      <c r="H76" s="777" t="s">
        <v>403</v>
      </c>
      <c r="I76" s="777" t="s">
        <v>763</v>
      </c>
      <c r="J76" s="777" t="s">
        <v>764</v>
      </c>
      <c r="K76" s="777" t="s">
        <v>765</v>
      </c>
      <c r="L76" s="777" t="s">
        <v>766</v>
      </c>
      <c r="M76" s="769"/>
    </row>
    <row r="77" spans="1:13" ht="13.5" thickBot="1">
      <c r="A77" s="758"/>
      <c r="B77" s="739"/>
      <c r="C77" s="765"/>
      <c r="D77" s="778"/>
      <c r="E77" s="758"/>
      <c r="F77" s="758"/>
      <c r="G77" s="767" t="s">
        <v>660</v>
      </c>
      <c r="H77" s="767" t="s">
        <v>660</v>
      </c>
      <c r="I77" s="767" t="s">
        <v>660</v>
      </c>
      <c r="J77" s="767" t="s">
        <v>660</v>
      </c>
      <c r="K77" s="767" t="s">
        <v>660</v>
      </c>
      <c r="L77" s="767" t="s">
        <v>660</v>
      </c>
      <c r="M77" s="769"/>
    </row>
    <row r="78" spans="1:13" ht="12.75">
      <c r="A78" s="758"/>
      <c r="B78" s="739"/>
      <c r="C78" s="765"/>
      <c r="D78" s="758"/>
      <c r="E78" s="778" t="s">
        <v>621</v>
      </c>
      <c r="F78" s="758"/>
      <c r="G78" s="851">
        <v>0</v>
      </c>
      <c r="H78" s="852"/>
      <c r="I78" s="853"/>
      <c r="J78" s="853"/>
      <c r="K78" s="854"/>
      <c r="L78" s="855"/>
      <c r="M78" s="769"/>
    </row>
    <row r="79" spans="1:13" ht="12.75">
      <c r="A79" s="758"/>
      <c r="B79" s="739"/>
      <c r="C79" s="765"/>
      <c r="D79" s="758"/>
      <c r="E79" s="778" t="s">
        <v>622</v>
      </c>
      <c r="F79" s="758"/>
      <c r="G79" s="851">
        <v>0</v>
      </c>
      <c r="H79" s="852"/>
      <c r="I79" s="853"/>
      <c r="J79" s="853"/>
      <c r="K79" s="854"/>
      <c r="L79" s="855"/>
      <c r="M79" s="769"/>
    </row>
    <row r="80" spans="1:13" ht="12.75">
      <c r="A80" s="758"/>
      <c r="B80" s="739"/>
      <c r="C80" s="765"/>
      <c r="D80" s="758"/>
      <c r="E80" s="778" t="s">
        <v>623</v>
      </c>
      <c r="F80" s="758"/>
      <c r="G80" s="851">
        <v>0</v>
      </c>
      <c r="H80" s="856"/>
      <c r="I80" s="857"/>
      <c r="J80" s="857"/>
      <c r="K80" s="858"/>
      <c r="L80" s="859"/>
      <c r="M80" s="769"/>
    </row>
    <row r="81" spans="1:13" ht="13.5" thickBot="1">
      <c r="A81" s="758"/>
      <c r="B81" s="739"/>
      <c r="C81" s="765"/>
      <c r="D81" s="765"/>
      <c r="E81" s="812" t="s">
        <v>816</v>
      </c>
      <c r="F81" s="758"/>
      <c r="G81" s="860">
        <v>0</v>
      </c>
      <c r="H81" s="860">
        <v>0</v>
      </c>
      <c r="I81" s="860">
        <v>0</v>
      </c>
      <c r="J81" s="860">
        <v>0</v>
      </c>
      <c r="K81" s="860">
        <v>0</v>
      </c>
      <c r="L81" s="860">
        <v>0</v>
      </c>
      <c r="M81" s="769"/>
    </row>
    <row r="82" spans="1:13" ht="13.5" thickBot="1">
      <c r="A82" s="758"/>
      <c r="B82" s="739"/>
      <c r="C82" s="765"/>
      <c r="D82" s="765"/>
      <c r="E82" s="786"/>
      <c r="F82" s="758"/>
      <c r="G82" s="787"/>
      <c r="H82" s="787"/>
      <c r="I82" s="766"/>
      <c r="J82" s="766"/>
      <c r="K82" s="766"/>
      <c r="L82" s="766"/>
      <c r="M82" s="769"/>
    </row>
    <row r="83" spans="1:13" ht="13.5" thickBot="1">
      <c r="A83" s="758"/>
      <c r="B83" s="739"/>
      <c r="C83" s="765"/>
      <c r="D83" s="861" t="s">
        <v>749</v>
      </c>
      <c r="E83" s="758"/>
      <c r="F83" s="758"/>
      <c r="G83" s="862">
        <v>0</v>
      </c>
      <c r="H83" s="863"/>
      <c r="I83" s="864"/>
      <c r="J83" s="863"/>
      <c r="K83" s="865"/>
      <c r="L83" s="866"/>
      <c r="M83" s="769"/>
    </row>
    <row r="84" spans="1:13" ht="13.5" thickBot="1">
      <c r="A84" s="758"/>
      <c r="B84" s="779"/>
      <c r="C84" s="780"/>
      <c r="D84" s="780"/>
      <c r="E84" s="867"/>
      <c r="F84" s="781"/>
      <c r="G84" s="788"/>
      <c r="H84" s="789"/>
      <c r="I84" s="788"/>
      <c r="J84" s="788"/>
      <c r="K84" s="788"/>
      <c r="L84" s="788"/>
      <c r="M84" s="790"/>
    </row>
    <row r="85" spans="1:13" ht="13.5" thickBot="1">
      <c r="A85" s="778"/>
      <c r="B85" s="778"/>
      <c r="C85" s="772"/>
      <c r="D85" s="765"/>
      <c r="E85" s="778"/>
      <c r="F85" s="758"/>
      <c r="G85" s="766"/>
      <c r="H85" s="787"/>
      <c r="I85" s="766"/>
      <c r="J85" s="766"/>
      <c r="K85" s="766"/>
      <c r="L85" s="766"/>
      <c r="M85" s="758"/>
    </row>
    <row r="86" spans="1:13" ht="13.5" thickBot="1">
      <c r="A86" s="758"/>
      <c r="B86" s="791"/>
      <c r="C86" s="809" t="s">
        <v>841</v>
      </c>
      <c r="D86" s="792"/>
      <c r="E86" s="868"/>
      <c r="F86" s="793"/>
      <c r="G86" s="794"/>
      <c r="H86" s="794"/>
      <c r="I86" s="795"/>
      <c r="J86" s="766"/>
      <c r="K86" s="766"/>
      <c r="L86" s="766"/>
      <c r="M86" s="758"/>
    </row>
    <row r="87" spans="1:13" ht="13.5" thickBot="1">
      <c r="A87" s="758"/>
      <c r="B87" s="739"/>
      <c r="C87" s="765"/>
      <c r="D87" s="765"/>
      <c r="E87" s="812"/>
      <c r="F87" s="758"/>
      <c r="G87" s="767" t="s">
        <v>660</v>
      </c>
      <c r="H87" s="787"/>
      <c r="I87" s="771"/>
      <c r="J87" s="766"/>
      <c r="K87" s="766"/>
      <c r="L87" s="766"/>
      <c r="M87" s="758"/>
    </row>
    <row r="88" spans="1:13" ht="13.5" thickBot="1">
      <c r="A88" s="758"/>
      <c r="B88" s="739"/>
      <c r="C88" s="765"/>
      <c r="D88" s="799" t="s">
        <v>298</v>
      </c>
      <c r="E88" s="812"/>
      <c r="F88" s="758"/>
      <c r="G88" s="869"/>
      <c r="H88" s="766"/>
      <c r="I88" s="771"/>
      <c r="J88" s="766"/>
      <c r="K88" s="766"/>
      <c r="L88" s="766"/>
      <c r="M88" s="758"/>
    </row>
    <row r="89" spans="1:13" ht="13.5" thickBot="1">
      <c r="A89" s="758"/>
      <c r="B89" s="739"/>
      <c r="C89" s="765"/>
      <c r="D89" s="799" t="s">
        <v>843</v>
      </c>
      <c r="E89" s="812"/>
      <c r="F89" s="758"/>
      <c r="G89" s="869"/>
      <c r="H89" s="766"/>
      <c r="I89" s="771"/>
      <c r="J89" s="766"/>
      <c r="K89" s="766"/>
      <c r="L89" s="766"/>
      <c r="M89" s="758"/>
    </row>
    <row r="90" spans="1:13" ht="13.5" thickBot="1">
      <c r="A90" s="758"/>
      <c r="B90" s="739"/>
      <c r="C90" s="765"/>
      <c r="D90" s="765"/>
      <c r="E90" s="786"/>
      <c r="F90" s="758"/>
      <c r="G90" s="766"/>
      <c r="H90" s="766"/>
      <c r="I90" s="771"/>
      <c r="J90" s="766"/>
      <c r="K90" s="766"/>
      <c r="L90" s="766"/>
      <c r="M90" s="758"/>
    </row>
    <row r="91" spans="1:13" ht="13.5" thickBot="1">
      <c r="A91" s="758"/>
      <c r="B91" s="739"/>
      <c r="C91" s="765"/>
      <c r="D91" s="765"/>
      <c r="E91" s="861"/>
      <c r="F91" s="758"/>
      <c r="G91" s="767" t="s">
        <v>660</v>
      </c>
      <c r="H91" s="767" t="s">
        <v>844</v>
      </c>
      <c r="I91" s="796"/>
      <c r="J91" s="797"/>
      <c r="K91" s="797"/>
      <c r="L91" s="766"/>
      <c r="M91" s="758"/>
    </row>
    <row r="92" spans="1:13" ht="13.5" thickBot="1">
      <c r="A92" s="758"/>
      <c r="B92" s="739"/>
      <c r="C92" s="765"/>
      <c r="D92" s="799" t="s">
        <v>734</v>
      </c>
      <c r="E92" s="758"/>
      <c r="F92" s="758"/>
      <c r="G92" s="870"/>
      <c r="H92" s="871"/>
      <c r="I92" s="872"/>
      <c r="J92" s="873"/>
      <c r="K92" s="873"/>
      <c r="L92" s="766"/>
      <c r="M92" s="758"/>
    </row>
    <row r="93" spans="1:13" ht="14.25" thickBot="1" thickTop="1">
      <c r="A93" s="758"/>
      <c r="B93" s="768"/>
      <c r="C93" s="758"/>
      <c r="D93" s="874"/>
      <c r="E93" s="758"/>
      <c r="F93" s="758"/>
      <c r="G93" s="758"/>
      <c r="H93" s="758"/>
      <c r="I93" s="872"/>
      <c r="J93" s="875"/>
      <c r="K93" s="875"/>
      <c r="L93" s="766"/>
      <c r="M93" s="758"/>
    </row>
    <row r="94" spans="1:13" ht="13.5" thickBot="1">
      <c r="A94" s="758"/>
      <c r="B94" s="739"/>
      <c r="C94" s="765"/>
      <c r="D94" s="799" t="s">
        <v>735</v>
      </c>
      <c r="E94" s="758"/>
      <c r="F94" s="758"/>
      <c r="G94" s="767" t="s">
        <v>660</v>
      </c>
      <c r="H94" s="767" t="s">
        <v>844</v>
      </c>
      <c r="I94" s="876"/>
      <c r="J94" s="875"/>
      <c r="K94" s="875"/>
      <c r="L94" s="766"/>
      <c r="M94" s="758"/>
    </row>
    <row r="95" spans="1:13" ht="12.75">
      <c r="A95" s="758"/>
      <c r="B95" s="739"/>
      <c r="C95" s="765"/>
      <c r="D95" s="758"/>
      <c r="E95" s="778" t="s">
        <v>695</v>
      </c>
      <c r="F95" s="758"/>
      <c r="G95" s="811"/>
      <c r="H95" s="811"/>
      <c r="I95" s="872"/>
      <c r="J95" s="873"/>
      <c r="K95" s="873"/>
      <c r="L95" s="766"/>
      <c r="M95" s="758"/>
    </row>
    <row r="96" spans="1:13" ht="12.75">
      <c r="A96" s="758"/>
      <c r="B96" s="739"/>
      <c r="C96" s="765"/>
      <c r="D96" s="758"/>
      <c r="E96" s="778" t="s">
        <v>694</v>
      </c>
      <c r="F96" s="758"/>
      <c r="G96" s="811"/>
      <c r="H96" s="811"/>
      <c r="I96" s="872"/>
      <c r="J96" s="873"/>
      <c r="K96" s="873"/>
      <c r="L96" s="766"/>
      <c r="M96" s="758"/>
    </row>
    <row r="97" spans="1:13" ht="13.5" thickBot="1">
      <c r="A97" s="758"/>
      <c r="B97" s="739"/>
      <c r="C97" s="765"/>
      <c r="D97" s="758"/>
      <c r="E97" s="778" t="s">
        <v>736</v>
      </c>
      <c r="F97" s="758"/>
      <c r="G97" s="811"/>
      <c r="H97" s="830"/>
      <c r="I97" s="872"/>
      <c r="J97" s="873"/>
      <c r="K97" s="873"/>
      <c r="L97" s="766"/>
      <c r="M97" s="758"/>
    </row>
    <row r="98" spans="1:13" ht="12.75">
      <c r="A98" s="758"/>
      <c r="B98" s="739"/>
      <c r="C98" s="765"/>
      <c r="D98" s="758"/>
      <c r="E98" s="778" t="s">
        <v>737</v>
      </c>
      <c r="F98" s="758"/>
      <c r="G98" s="877"/>
      <c r="H98" s="878"/>
      <c r="I98" s="872"/>
      <c r="J98" s="873"/>
      <c r="K98" s="875"/>
      <c r="L98" s="766"/>
      <c r="M98" s="758"/>
    </row>
    <row r="99" spans="1:13" ht="13.5" thickBot="1">
      <c r="A99" s="758"/>
      <c r="B99" s="739"/>
      <c r="C99" s="765"/>
      <c r="D99" s="765"/>
      <c r="E99" s="806" t="s">
        <v>739</v>
      </c>
      <c r="F99" s="758"/>
      <c r="G99" s="831">
        <v>0</v>
      </c>
      <c r="H99" s="831">
        <v>0</v>
      </c>
      <c r="I99" s="879"/>
      <c r="J99" s="512"/>
      <c r="K99" s="512"/>
      <c r="L99" s="766"/>
      <c r="M99" s="758"/>
    </row>
    <row r="100" spans="1:13" ht="14.25" thickBot="1" thickTop="1">
      <c r="A100" s="758"/>
      <c r="B100" s="779"/>
      <c r="C100" s="780"/>
      <c r="D100" s="780"/>
      <c r="E100" s="780"/>
      <c r="F100" s="780"/>
      <c r="G100" s="781"/>
      <c r="H100" s="781"/>
      <c r="I100" s="790"/>
      <c r="J100" s="758"/>
      <c r="K100" s="758"/>
      <c r="L100" s="758"/>
      <c r="M100" s="758"/>
    </row>
    <row r="101" spans="1:13" ht="12.75">
      <c r="A101" s="758"/>
      <c r="B101" s="626"/>
      <c r="C101" s="626"/>
      <c r="D101" s="626"/>
      <c r="E101" s="626"/>
      <c r="F101" s="626"/>
      <c r="G101" s="758"/>
      <c r="H101" s="758"/>
      <c r="I101" s="758"/>
      <c r="J101" s="758"/>
      <c r="K101" s="758"/>
      <c r="L101" s="758"/>
      <c r="M101" s="758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6">
      <selection activeCell="S65" sqref="S65"/>
    </sheetView>
  </sheetViews>
  <sheetFormatPr defaultColWidth="11.42187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1345" customFormat="1" ht="12.75">
      <c r="A1" s="1345" t="s">
        <v>295</v>
      </c>
    </row>
    <row r="2" ht="12.75">
      <c r="B2" s="911" t="s">
        <v>795</v>
      </c>
    </row>
    <row r="3" spans="1:50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161"/>
      <c r="Q3" s="161"/>
      <c r="R3" s="161"/>
      <c r="S3" s="161"/>
      <c r="T3" s="161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</row>
    <row r="4" spans="1:30" ht="12.75">
      <c r="A4" s="69"/>
      <c r="B4" s="69"/>
      <c r="C4" s="1346" t="s">
        <v>209</v>
      </c>
      <c r="D4" s="1346"/>
      <c r="E4" s="1346"/>
      <c r="F4" s="1346"/>
      <c r="G4" s="1346"/>
      <c r="H4" s="1346"/>
      <c r="I4" s="1346"/>
      <c r="J4" s="1346"/>
      <c r="K4" s="1346"/>
      <c r="L4" s="1346"/>
      <c r="M4" s="1346" t="s">
        <v>210</v>
      </c>
      <c r="N4" s="1346"/>
      <c r="O4" s="1346"/>
      <c r="P4" s="1346"/>
      <c r="Q4" s="1346"/>
      <c r="R4" s="1346"/>
      <c r="S4" s="1346"/>
      <c r="T4" s="1346"/>
      <c r="U4" s="1346"/>
      <c r="V4" s="69"/>
      <c r="W4" s="69"/>
      <c r="X4" s="69"/>
      <c r="Y4" s="69"/>
      <c r="Z4" s="69"/>
      <c r="AA4" s="69"/>
      <c r="AB4" s="69"/>
      <c r="AC4" s="69"/>
      <c r="AD4" s="69"/>
    </row>
    <row r="5" spans="1:30" ht="12.75">
      <c r="A5" s="69"/>
      <c r="B5" s="69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  <c r="T5" s="1346"/>
      <c r="U5" s="1346"/>
      <c r="V5" s="69"/>
      <c r="W5" s="69"/>
      <c r="X5" s="69"/>
      <c r="Y5" s="69"/>
      <c r="Z5" s="69"/>
      <c r="AA5" s="69"/>
      <c r="AB5" s="69"/>
      <c r="AC5" s="69"/>
      <c r="AD5" s="69"/>
    </row>
    <row r="6" spans="1:30" ht="12.75">
      <c r="A6" s="69"/>
      <c r="B6" s="69"/>
      <c r="C6" s="1346"/>
      <c r="D6" s="1346"/>
      <c r="E6" s="1346" t="s">
        <v>674</v>
      </c>
      <c r="F6" s="1346" t="s">
        <v>675</v>
      </c>
      <c r="G6" s="1346"/>
      <c r="H6" s="1346" t="s">
        <v>535</v>
      </c>
      <c r="I6" s="1346" t="s">
        <v>676</v>
      </c>
      <c r="J6" s="1346" t="s">
        <v>538</v>
      </c>
      <c r="K6" s="1346"/>
      <c r="L6" s="1346"/>
      <c r="M6" s="1346"/>
      <c r="N6" s="1346"/>
      <c r="O6" s="1346"/>
      <c r="P6" s="1346" t="s">
        <v>674</v>
      </c>
      <c r="Q6" s="1346" t="s">
        <v>675</v>
      </c>
      <c r="R6" s="1346" t="s">
        <v>535</v>
      </c>
      <c r="S6" s="1346" t="s">
        <v>676</v>
      </c>
      <c r="T6" s="1346" t="s">
        <v>538</v>
      </c>
      <c r="U6" s="1346"/>
      <c r="V6" s="69"/>
      <c r="W6" s="69"/>
      <c r="X6" s="69"/>
      <c r="Y6" s="69"/>
      <c r="Z6" s="69"/>
      <c r="AA6" s="69"/>
      <c r="AB6" s="69"/>
      <c r="AC6" s="69"/>
      <c r="AD6" s="69"/>
    </row>
    <row r="7" spans="1:30" ht="12.75">
      <c r="A7" s="69"/>
      <c r="B7" s="69"/>
      <c r="C7" s="1346"/>
      <c r="D7" s="1346"/>
      <c r="E7" s="1347"/>
      <c r="F7" s="1347"/>
      <c r="G7" s="1347"/>
      <c r="H7" s="1347"/>
      <c r="I7" s="1347"/>
      <c r="J7" s="1347"/>
      <c r="K7" s="1347"/>
      <c r="L7" s="1346"/>
      <c r="M7" s="1346" t="s">
        <v>345</v>
      </c>
      <c r="N7" s="1346"/>
      <c r="O7" s="1346"/>
      <c r="P7" s="1348">
        <f>'Allowed revenue -DPCR4'!D3</f>
        <v>964.7</v>
      </c>
      <c r="Q7" s="1348">
        <f>'Allowed revenue -DPCR4'!E3</f>
        <v>1013.2</v>
      </c>
      <c r="R7" s="1348">
        <f>'Allowed revenue -DPCR4'!F3</f>
        <v>1057.4</v>
      </c>
      <c r="S7" s="1348">
        <f>'Allowed revenue -DPCR4'!G3</f>
        <v>1095.1</v>
      </c>
      <c r="T7" s="1348">
        <f>'Allowed revenue -DPCR4'!H3</f>
        <v>1126.5</v>
      </c>
      <c r="U7" s="1346"/>
      <c r="V7" s="69"/>
      <c r="W7" s="69"/>
      <c r="X7" s="69"/>
      <c r="Y7" s="69"/>
      <c r="Z7" s="69"/>
      <c r="AA7" s="69"/>
      <c r="AB7" s="69"/>
      <c r="AC7" s="69"/>
      <c r="AD7" s="69"/>
    </row>
    <row r="8" spans="1:30" ht="12.75">
      <c r="A8" s="69"/>
      <c r="B8" s="69"/>
      <c r="C8" s="1346" t="s">
        <v>346</v>
      </c>
      <c r="D8" s="1346"/>
      <c r="E8" s="1349">
        <f>P33</f>
        <v>238.75220365682705</v>
      </c>
      <c r="F8" s="1349">
        <f>Q33</f>
        <v>240.42346908242482</v>
      </c>
      <c r="G8" s="1349"/>
      <c r="H8" s="1349">
        <f>R33</f>
        <v>242.33348671167943</v>
      </c>
      <c r="I8" s="1349">
        <f>S33</f>
        <v>244.00475213727725</v>
      </c>
      <c r="J8" s="1349">
        <f>T33</f>
        <v>245.67601756287502</v>
      </c>
      <c r="K8" s="1347"/>
      <c r="L8" s="1346"/>
      <c r="M8" s="1346" t="s">
        <v>221</v>
      </c>
      <c r="N8" s="1346"/>
      <c r="O8" s="1346"/>
      <c r="P8" s="1348">
        <f>'Allowed revenue -DPCR4'!D4</f>
        <v>120.8</v>
      </c>
      <c r="Q8" s="1348">
        <f>'Allowed revenue -DPCR4'!E4</f>
        <v>120.4</v>
      </c>
      <c r="R8" s="1348">
        <f>'Allowed revenue -DPCR4'!F4</f>
        <v>120</v>
      </c>
      <c r="S8" s="1348">
        <f>'Allowed revenue -DPCR4'!G4</f>
        <v>119.5</v>
      </c>
      <c r="T8" s="1348">
        <f>'Allowed revenue -DPCR4'!H4</f>
        <v>119.3</v>
      </c>
      <c r="U8" s="1347"/>
      <c r="V8" s="69"/>
      <c r="W8" s="69"/>
      <c r="X8" s="69"/>
      <c r="Y8" s="69"/>
      <c r="Z8" s="69"/>
      <c r="AA8" s="69"/>
      <c r="AB8" s="69"/>
      <c r="AC8" s="69"/>
      <c r="AD8" s="69"/>
    </row>
    <row r="9" spans="1:30" ht="12.75">
      <c r="A9" s="69"/>
      <c r="B9" s="69"/>
      <c r="C9" s="1346"/>
      <c r="D9" s="1346"/>
      <c r="E9" s="1350"/>
      <c r="F9" s="1350"/>
      <c r="G9" s="1350"/>
      <c r="H9" s="1350"/>
      <c r="I9" s="1350"/>
      <c r="J9" s="1350"/>
      <c r="K9" s="1346"/>
      <c r="L9" s="1346"/>
      <c r="M9" s="1346" t="s">
        <v>196</v>
      </c>
      <c r="N9" s="1346"/>
      <c r="O9" s="1346"/>
      <c r="P9" s="1348">
        <f>'Allowed revenue -DPCR4'!D5</f>
        <v>-72.3</v>
      </c>
      <c r="Q9" s="1348">
        <f>'Allowed revenue -DPCR4'!E5</f>
        <v>-76.2</v>
      </c>
      <c r="R9" s="1348">
        <f>'Allowed revenue -DPCR4'!F5</f>
        <v>-82.2</v>
      </c>
      <c r="S9" s="1348">
        <f>'Allowed revenue -DPCR4'!G5</f>
        <v>-88.2</v>
      </c>
      <c r="T9" s="1348">
        <f>'Allowed revenue -DPCR4'!H5</f>
        <v>-94.2</v>
      </c>
      <c r="U9" s="1347"/>
      <c r="V9" s="69"/>
      <c r="W9" s="69"/>
      <c r="X9" s="69"/>
      <c r="Y9" s="69"/>
      <c r="Z9" s="69"/>
      <c r="AA9" s="69"/>
      <c r="AB9" s="69"/>
      <c r="AC9" s="69"/>
      <c r="AD9" s="69"/>
    </row>
    <row r="10" spans="1:30" ht="12.75">
      <c r="A10" s="69"/>
      <c r="B10" s="69"/>
      <c r="C10" s="1346" t="s">
        <v>131</v>
      </c>
      <c r="D10" s="1346"/>
      <c r="E10" s="1350">
        <f>P14+(1-0.577)*P16</f>
        <v>79.3526</v>
      </c>
      <c r="F10" s="1350">
        <f>Q14+(1-0.577)*Q16</f>
        <v>76.8526</v>
      </c>
      <c r="G10" s="1350"/>
      <c r="H10" s="1350">
        <f>R14+(1-0.577)*R16</f>
        <v>74.8526</v>
      </c>
      <c r="I10" s="1350">
        <f>S14+(1-0.577)*S16</f>
        <v>73.45259999999999</v>
      </c>
      <c r="J10" s="1350">
        <f>T14+(1-0.577)*T16</f>
        <v>72.8526</v>
      </c>
      <c r="K10" s="1346"/>
      <c r="L10" s="1346"/>
      <c r="M10" s="1346" t="s">
        <v>132</v>
      </c>
      <c r="N10" s="1346"/>
      <c r="O10" s="1346"/>
      <c r="P10" s="1348">
        <f>'Allowed revenue -DPCR4'!D6</f>
        <v>1013.2</v>
      </c>
      <c r="Q10" s="1348">
        <f>'Allowed revenue -DPCR4'!E6</f>
        <v>1057.4</v>
      </c>
      <c r="R10" s="1348">
        <f>'Allowed revenue -DPCR4'!F6</f>
        <v>1095.1</v>
      </c>
      <c r="S10" s="1348">
        <f>'Allowed revenue -DPCR4'!G6</f>
        <v>1126.5</v>
      </c>
      <c r="T10" s="1348">
        <f>'Allowed revenue -DPCR4'!H6</f>
        <v>1151.6</v>
      </c>
      <c r="U10" s="1346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12.75">
      <c r="A11" s="69"/>
      <c r="B11" s="69"/>
      <c r="C11" s="1346" t="s">
        <v>134</v>
      </c>
      <c r="D11" s="1346"/>
      <c r="E11" s="1349">
        <f>P20</f>
      </c>
      <c r="F11" s="1349">
        <f>Q20</f>
      </c>
      <c r="G11" s="1349">
        <f>R20</f>
      </c>
      <c r="H11" s="1349">
        <f>R20</f>
      </c>
      <c r="I11" s="1349">
        <f>S20</f>
      </c>
      <c r="J11" s="1349">
        <f>T20</f>
      </c>
      <c r="K11" s="1346"/>
      <c r="L11" s="1346"/>
      <c r="M11" s="1346" t="s">
        <v>135</v>
      </c>
      <c r="N11" s="1346"/>
      <c r="O11" s="1346"/>
      <c r="P11" s="1348">
        <f>'Allowed revenue -DPCR4'!D7</f>
        <v>964.7</v>
      </c>
      <c r="Q11" s="1348"/>
      <c r="R11" s="1348">
        <f>'Allowed revenue -DPCR4'!F7</f>
        <v>0</v>
      </c>
      <c r="S11" s="1348"/>
      <c r="T11" s="1348">
        <f>'Allowed revenue -DPCR4'!H7</f>
        <v>879.3</v>
      </c>
      <c r="U11" s="1350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12.75">
      <c r="A12" s="69"/>
      <c r="B12" s="69"/>
      <c r="C12" s="1346" t="s">
        <v>136</v>
      </c>
      <c r="D12" s="1346"/>
      <c r="E12" s="1349">
        <f>P21</f>
        <v>0.9</v>
      </c>
      <c r="F12" s="1349"/>
      <c r="G12" s="1349"/>
      <c r="H12" s="1349"/>
      <c r="I12" s="1349"/>
      <c r="J12" s="1349"/>
      <c r="K12" s="1347"/>
      <c r="L12" s="1346"/>
      <c r="M12" s="1346" t="s">
        <v>137</v>
      </c>
      <c r="N12" s="1346"/>
      <c r="O12" s="1346"/>
      <c r="P12" s="1348"/>
      <c r="Q12" s="1348">
        <f>'Allowed revenue -DPCR4'!E8</f>
        <v>0</v>
      </c>
      <c r="R12" s="1348"/>
      <c r="S12" s="1348"/>
      <c r="T12" s="1348">
        <f>'Allowed revenue -DPCR4'!H8</f>
        <v>85.4</v>
      </c>
      <c r="U12" s="1350"/>
      <c r="V12" s="69"/>
      <c r="W12" s="69"/>
      <c r="X12" s="69"/>
      <c r="Y12" s="69"/>
      <c r="Z12" s="69"/>
      <c r="AA12" s="69"/>
      <c r="AB12" s="69"/>
      <c r="AC12" s="69"/>
      <c r="AD12" s="69"/>
    </row>
    <row r="13" spans="1:30" ht="12.75">
      <c r="A13" s="69"/>
      <c r="B13" s="69"/>
      <c r="C13" s="1346" t="s">
        <v>139</v>
      </c>
      <c r="D13" s="1346"/>
      <c r="E13" s="1350">
        <f>SUM(E10:E12)</f>
        <v>80.2526</v>
      </c>
      <c r="F13" s="1350">
        <f>SUM(F10:F12)</f>
        <v>76.8526</v>
      </c>
      <c r="G13" s="1350"/>
      <c r="H13" s="1350">
        <f>SUM(H10:H12)</f>
        <v>74.8526</v>
      </c>
      <c r="I13" s="1350">
        <f>SUM(I10:I12)</f>
        <v>73.45259999999999</v>
      </c>
      <c r="J13" s="1350">
        <f>SUM(J10:J12)</f>
        <v>72.8526</v>
      </c>
      <c r="K13" s="1346"/>
      <c r="L13" s="1346"/>
      <c r="M13" s="1346"/>
      <c r="N13" s="1346"/>
      <c r="O13" s="1346"/>
      <c r="P13" s="1346"/>
      <c r="Q13" s="1346"/>
      <c r="R13" s="1346"/>
      <c r="S13" s="1346"/>
      <c r="T13" s="1346"/>
      <c r="U13" s="1346"/>
      <c r="V13" s="69"/>
      <c r="W13" s="69"/>
      <c r="X13" s="69"/>
      <c r="Y13" s="69"/>
      <c r="Z13" s="69"/>
      <c r="AA13" s="69"/>
      <c r="AB13" s="69"/>
      <c r="AC13" s="69"/>
      <c r="AD13" s="69"/>
    </row>
    <row r="14" spans="1:30" ht="12.75">
      <c r="A14" s="69"/>
      <c r="B14" s="69"/>
      <c r="C14" s="1346"/>
      <c r="D14" s="1346"/>
      <c r="E14" s="1350"/>
      <c r="F14" s="1350"/>
      <c r="G14" s="1350"/>
      <c r="H14" s="1350"/>
      <c r="I14" s="1350"/>
      <c r="J14" s="1350"/>
      <c r="K14" s="1346"/>
      <c r="L14" s="1346"/>
      <c r="M14" s="1346" t="s">
        <v>69</v>
      </c>
      <c r="N14" s="1346"/>
      <c r="O14" s="1346"/>
      <c r="P14" s="1347">
        <f>'Allowed revenue -DPCR4'!D10</f>
        <v>72.5</v>
      </c>
      <c r="Q14" s="1347">
        <f>'Allowed revenue -DPCR4'!E10</f>
        <v>70</v>
      </c>
      <c r="R14" s="1347">
        <f>'Allowed revenue -DPCR4'!F10</f>
        <v>68</v>
      </c>
      <c r="S14" s="1347">
        <f>'Allowed revenue -DPCR4'!G10</f>
        <v>66.6</v>
      </c>
      <c r="T14" s="1347">
        <f>'Allowed revenue -DPCR4'!H10</f>
        <v>66</v>
      </c>
      <c r="U14" s="1347"/>
      <c r="V14" s="69"/>
      <c r="W14" s="69"/>
      <c r="X14" s="69"/>
      <c r="Y14" s="69"/>
      <c r="Z14" s="69"/>
      <c r="AA14" s="69"/>
      <c r="AB14" s="69"/>
      <c r="AC14" s="69"/>
      <c r="AD14" s="69"/>
    </row>
    <row r="15" spans="1:30" ht="12.75">
      <c r="A15" s="69"/>
      <c r="B15" s="69"/>
      <c r="C15" s="1346" t="s">
        <v>70</v>
      </c>
      <c r="D15" s="1346"/>
      <c r="E15" s="1350"/>
      <c r="F15" s="1350"/>
      <c r="G15" s="1350"/>
      <c r="H15" s="1350"/>
      <c r="I15" s="1350"/>
      <c r="J15" s="1350"/>
      <c r="K15" s="1346"/>
      <c r="L15" s="1346"/>
      <c r="M15" s="1346" t="s">
        <v>71</v>
      </c>
      <c r="N15" s="1346"/>
      <c r="O15" s="1346"/>
      <c r="P15" s="1347">
        <f>'Allowed revenue -DPCR4'!D11</f>
        <v>111.5</v>
      </c>
      <c r="Q15" s="1347">
        <f>'Allowed revenue -DPCR4'!E11</f>
        <v>111.1</v>
      </c>
      <c r="R15" s="1347">
        <f>'Allowed revenue -DPCR4'!F11</f>
        <v>110.7</v>
      </c>
      <c r="S15" s="1347">
        <f>'Allowed revenue -DPCR4'!G11</f>
        <v>110.2</v>
      </c>
      <c r="T15" s="1347">
        <f>'Allowed revenue -DPCR4'!H11</f>
        <v>110</v>
      </c>
      <c r="U15" s="1347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2.75">
      <c r="A16" s="69"/>
      <c r="B16" s="69"/>
      <c r="C16" s="1346" t="s">
        <v>196</v>
      </c>
      <c r="D16" s="1351"/>
      <c r="E16" s="1350">
        <f>-P9</f>
        <v>72.3</v>
      </c>
      <c r="F16" s="1350">
        <f>-Q9</f>
        <v>76.2</v>
      </c>
      <c r="G16" s="1350"/>
      <c r="H16" s="1350">
        <f>-R9</f>
        <v>82.2</v>
      </c>
      <c r="I16" s="1350">
        <f>-S9</f>
        <v>88.2</v>
      </c>
      <c r="J16" s="1350">
        <f>-T9</f>
        <v>94.2</v>
      </c>
      <c r="K16" s="1352"/>
      <c r="L16" s="1346"/>
      <c r="M16" s="1346" t="s">
        <v>72</v>
      </c>
      <c r="N16" s="1346"/>
      <c r="O16" s="1346"/>
      <c r="P16" s="1347">
        <f>'Allowed revenue -DPCR4'!D12</f>
        <v>16.2</v>
      </c>
      <c r="Q16" s="1347">
        <f>'Allowed revenue -DPCR4'!E12</f>
        <v>16.2</v>
      </c>
      <c r="R16" s="1347">
        <f>'Allowed revenue -DPCR4'!F12</f>
        <v>16.2</v>
      </c>
      <c r="S16" s="1347">
        <f>'Allowed revenue -DPCR4'!G12</f>
        <v>16.2</v>
      </c>
      <c r="T16" s="1347">
        <f>'Allowed revenue -DPCR4'!H12</f>
        <v>16.2</v>
      </c>
      <c r="U16" s="1347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2.75">
      <c r="A17" s="69"/>
      <c r="B17" s="69"/>
      <c r="C17" s="1346" t="s">
        <v>73</v>
      </c>
      <c r="D17" s="1346"/>
      <c r="E17" s="1350">
        <f aca="true" t="shared" si="0" ref="E17:F19">P17</f>
        <v>25.9</v>
      </c>
      <c r="F17" s="1350">
        <f t="shared" si="0"/>
        <v>26.7</v>
      </c>
      <c r="G17" s="1350"/>
      <c r="H17" s="1350">
        <f aca="true" t="shared" si="1" ref="H17:J19">R17</f>
        <v>26.9</v>
      </c>
      <c r="I17" s="1350">
        <f t="shared" si="1"/>
        <v>27</v>
      </c>
      <c r="J17" s="1350">
        <f t="shared" si="1"/>
        <v>26.7</v>
      </c>
      <c r="K17" s="1346"/>
      <c r="L17" s="1346"/>
      <c r="M17" s="1346" t="s">
        <v>73</v>
      </c>
      <c r="N17" s="1346"/>
      <c r="O17" s="1346"/>
      <c r="P17" s="1347">
        <f>'Allowed revenue -DPCR4'!D13</f>
        <v>25.9</v>
      </c>
      <c r="Q17" s="1347">
        <f>'Allowed revenue -DPCR4'!E13</f>
        <v>26.7</v>
      </c>
      <c r="R17" s="1347">
        <f>'Allowed revenue -DPCR4'!F13</f>
        <v>26.9</v>
      </c>
      <c r="S17" s="1347">
        <f>'Allowed revenue -DPCR4'!G13</f>
        <v>27</v>
      </c>
      <c r="T17" s="1347">
        <f>'Allowed revenue -DPCR4'!H13</f>
        <v>26.7</v>
      </c>
      <c r="U17" s="1347"/>
      <c r="V17" s="69"/>
      <c r="W17" s="69"/>
      <c r="X17" s="69"/>
      <c r="Y17" s="69"/>
      <c r="Z17" s="69"/>
      <c r="AA17" s="69"/>
      <c r="AB17" s="69"/>
      <c r="AC17" s="69"/>
      <c r="AD17" s="69"/>
    </row>
    <row r="18" spans="1:30" ht="12.75">
      <c r="A18" s="69"/>
      <c r="B18" s="69"/>
      <c r="C18" s="1346" t="s">
        <v>75</v>
      </c>
      <c r="D18" s="1346"/>
      <c r="E18" s="1349">
        <f t="shared" si="0"/>
        <v>1.2</v>
      </c>
      <c r="F18" s="1349">
        <f t="shared" si="0"/>
        <v>0.9</v>
      </c>
      <c r="G18" s="1349"/>
      <c r="H18" s="1349">
        <f t="shared" si="1"/>
        <v>1</v>
      </c>
      <c r="I18" s="1349">
        <f t="shared" si="1"/>
        <v>0.5</v>
      </c>
      <c r="J18" s="1349">
        <f t="shared" si="1"/>
        <v>0.6</v>
      </c>
      <c r="K18" s="1347"/>
      <c r="L18" s="1346"/>
      <c r="M18" s="1346" t="s">
        <v>76</v>
      </c>
      <c r="N18" s="1346"/>
      <c r="O18" s="1346"/>
      <c r="P18" s="1347">
        <f>'Allowed revenue -DPCR4'!D14</f>
        <v>1.2</v>
      </c>
      <c r="Q18" s="1347">
        <f>'Allowed revenue -DPCR4'!E14</f>
        <v>0.9</v>
      </c>
      <c r="R18" s="1347">
        <f>'Allowed revenue -DPCR4'!F14</f>
        <v>1</v>
      </c>
      <c r="S18" s="1347">
        <f>'Allowed revenue -DPCR4'!G14</f>
        <v>0.5</v>
      </c>
      <c r="T18" s="1347">
        <f>'Allowed revenue -DPCR4'!H14</f>
        <v>0.6</v>
      </c>
      <c r="U18" s="1347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ht="12.75">
      <c r="A19" s="69"/>
      <c r="B19" s="69"/>
      <c r="C19" s="1346" t="s">
        <v>77</v>
      </c>
      <c r="D19" s="1346"/>
      <c r="E19" s="1349">
        <f t="shared" si="0"/>
        <v>1.4</v>
      </c>
      <c r="F19" s="1349">
        <f t="shared" si="0"/>
        <v>1.5</v>
      </c>
      <c r="G19" s="1349"/>
      <c r="H19" s="1349">
        <f t="shared" si="1"/>
        <v>1.5</v>
      </c>
      <c r="I19" s="1349">
        <f t="shared" si="1"/>
        <v>1.6</v>
      </c>
      <c r="J19" s="1349">
        <f t="shared" si="1"/>
        <v>1.6</v>
      </c>
      <c r="K19" s="1352"/>
      <c r="L19" s="1346"/>
      <c r="M19" s="1346" t="s">
        <v>78</v>
      </c>
      <c r="N19" s="1346"/>
      <c r="O19" s="1346"/>
      <c r="P19" s="1347">
        <f>'Allowed revenue -DPCR4'!D15</f>
        <v>1.4</v>
      </c>
      <c r="Q19" s="1347">
        <f>'Allowed revenue -DPCR4'!E15</f>
        <v>1.5</v>
      </c>
      <c r="R19" s="1347">
        <f>'Allowed revenue -DPCR4'!F15</f>
        <v>1.5</v>
      </c>
      <c r="S19" s="1347">
        <f>'Allowed revenue -DPCR4'!G15</f>
        <v>1.6</v>
      </c>
      <c r="T19" s="1347">
        <f>'Allowed revenue -DPCR4'!H15</f>
        <v>1.6</v>
      </c>
      <c r="U19" s="1347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ht="12.75">
      <c r="A20" s="69"/>
      <c r="B20" s="69"/>
      <c r="C20" s="1346" t="s">
        <v>51</v>
      </c>
      <c r="D20" s="1352"/>
      <c r="E20" s="1350">
        <f>E8-E13-E16-E17-E18-E19</f>
        <v>57.69960365682705</v>
      </c>
      <c r="F20" s="1350">
        <f>F8-F13-F16-F17-F18-F19</f>
        <v>58.27086908242482</v>
      </c>
      <c r="G20" s="1350"/>
      <c r="H20" s="1350">
        <f>H8-H13-H16-H17-H18-H19</f>
        <v>55.88088671167943</v>
      </c>
      <c r="I20" s="1350">
        <f>I8-I13-I16-I17-I18-I19</f>
        <v>53.25215213727726</v>
      </c>
      <c r="J20" s="1350">
        <f>J8-J13-J16-J17-J18-J19</f>
        <v>49.723417562875014</v>
      </c>
      <c r="K20" s="1352"/>
      <c r="L20" s="1346"/>
      <c r="M20" s="1346" t="s">
        <v>108</v>
      </c>
      <c r="N20" s="1346"/>
      <c r="O20" s="1346"/>
      <c r="P20" s="1348">
        <f>IF(ISNUMBER('Allowed revenue -DPCR4'!D16+'Allowed revenue -DPCR4'!D17),'Allowed revenue -DPCR4'!D16+'Allowed revenue -DPCR4'!D17,"")</f>
      </c>
      <c r="Q20" s="1348">
        <f>IF(ISNUMBER('Allowed revenue -DPCR4'!E16+'Allowed revenue -DPCR4'!E17),'Allowed revenue -DPCR4'!E16+'Allowed revenue -DPCR4'!E17,"")</f>
      </c>
      <c r="R20" s="1348">
        <f>IF(ISNUMBER('Allowed revenue -DPCR4'!F16+'Allowed revenue -DPCR4'!F17),'Allowed revenue -DPCR4'!F16+'Allowed revenue -DPCR4'!F17,"")</f>
      </c>
      <c r="S20" s="1348">
        <f>IF(ISNUMBER('Allowed revenue -DPCR4'!G16+'Allowed revenue -DPCR4'!G17),'Allowed revenue -DPCR4'!G16+'Allowed revenue -DPCR4'!G17,"")</f>
      </c>
      <c r="T20" s="1348">
        <f>IF(ISNUMBER('Allowed revenue -DPCR4'!H16+'Allowed revenue -DPCR4'!H17),'Allowed revenue -DPCR4'!H16+'Allowed revenue -DPCR4'!H17,"")</f>
      </c>
      <c r="U20" s="1347"/>
      <c r="V20" s="69"/>
      <c r="W20" s="69"/>
      <c r="X20" s="69"/>
      <c r="Y20" s="69"/>
      <c r="Z20" s="69"/>
      <c r="AA20" s="69"/>
      <c r="AB20" s="69"/>
      <c r="AC20" s="69"/>
      <c r="AD20" s="69"/>
    </row>
    <row r="21" spans="1:30" ht="12.75">
      <c r="A21" s="69"/>
      <c r="B21" s="69"/>
      <c r="C21" s="1346" t="s">
        <v>100</v>
      </c>
      <c r="D21" s="1346"/>
      <c r="E21" s="1350">
        <f>SUM(E16:E20)</f>
        <v>158.49960365682705</v>
      </c>
      <c r="F21" s="1350">
        <f>SUM(F16:F20)</f>
        <v>163.57086908242482</v>
      </c>
      <c r="G21" s="1350"/>
      <c r="H21" s="1350">
        <f>SUM(H16:H20)</f>
        <v>167.48088671167943</v>
      </c>
      <c r="I21" s="1350">
        <f>SUM(I16:I20)</f>
        <v>170.55215213727726</v>
      </c>
      <c r="J21" s="1350">
        <f>SUM(J16:J20)</f>
        <v>172.82341756287502</v>
      </c>
      <c r="K21" s="1346"/>
      <c r="L21" s="1346"/>
      <c r="M21" s="1346" t="s">
        <v>136</v>
      </c>
      <c r="N21" s="1346"/>
      <c r="O21" s="1346"/>
      <c r="P21" s="1347">
        <f>'Allowed revenue -DPCR4'!D18</f>
        <v>0.9</v>
      </c>
      <c r="Q21" s="1347" t="str">
        <f>'Allowed revenue -DPCR4'!E18</f>
        <v>-</v>
      </c>
      <c r="R21" s="1347" t="str">
        <f>'Allowed revenue -DPCR4'!F18</f>
        <v>-</v>
      </c>
      <c r="S21" s="1347" t="str">
        <f>'Allowed revenue -DPCR4'!G18</f>
        <v>-</v>
      </c>
      <c r="T21" s="1347" t="str">
        <f>'Allowed revenue -DPCR4'!H18</f>
        <v>-</v>
      </c>
      <c r="U21" s="1347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12.75">
      <c r="A22" s="69"/>
      <c r="B22" s="69"/>
      <c r="C22" s="1353" t="s">
        <v>101</v>
      </c>
      <c r="D22" s="1346"/>
      <c r="E22" s="1350">
        <f>E21-E16</f>
        <v>86.19960365682705</v>
      </c>
      <c r="F22" s="1350">
        <f>F21-F16</f>
        <v>87.37086908242482</v>
      </c>
      <c r="G22" s="1350"/>
      <c r="H22" s="1350">
        <f>H21-H16</f>
        <v>85.28088671167943</v>
      </c>
      <c r="I22" s="1350">
        <f>I21-I16</f>
        <v>82.35215213727726</v>
      </c>
      <c r="J22" s="1350">
        <f>J21-J16</f>
        <v>78.62341756287502</v>
      </c>
      <c r="K22" s="1354"/>
      <c r="L22" s="1354"/>
      <c r="M22" s="1354" t="s">
        <v>291</v>
      </c>
      <c r="N22" s="1354"/>
      <c r="O22" s="1354"/>
      <c r="P22" s="1346">
        <f>'Allowed revenue -DPCR4'!D19</f>
        <v>229.6</v>
      </c>
      <c r="Q22" s="1346">
        <f>'Allowed revenue -DPCR4'!E19</f>
        <v>226.4</v>
      </c>
      <c r="R22" s="1346">
        <f>'Allowed revenue -DPCR4'!F19</f>
        <v>224.3</v>
      </c>
      <c r="S22" s="1346">
        <f>'Allowed revenue -DPCR4'!G19</f>
        <v>222.1</v>
      </c>
      <c r="T22" s="1346">
        <f>'Allowed revenue -DPCR4'!H19</f>
        <v>221.1</v>
      </c>
      <c r="U22" s="1346"/>
      <c r="V22" s="69"/>
      <c r="W22" s="69"/>
      <c r="X22" s="69"/>
      <c r="Y22" s="69"/>
      <c r="Z22" s="69"/>
      <c r="AA22" s="69"/>
      <c r="AB22" s="69"/>
      <c r="AC22" s="69"/>
      <c r="AD22" s="69"/>
    </row>
    <row r="23" spans="1:30" ht="12.75">
      <c r="A23" s="69"/>
      <c r="B23" s="69"/>
      <c r="C23" s="1346"/>
      <c r="D23" s="1346"/>
      <c r="E23" s="1350"/>
      <c r="F23" s="1350"/>
      <c r="G23" s="1350"/>
      <c r="H23" s="1350"/>
      <c r="I23" s="1350"/>
      <c r="J23" s="1350"/>
      <c r="K23" s="1354"/>
      <c r="L23" s="1354"/>
      <c r="M23" s="1354" t="s">
        <v>188</v>
      </c>
      <c r="N23" s="1354"/>
      <c r="O23" s="1354"/>
      <c r="P23" s="1346">
        <f>'Allowed revenue -DPCR4'!D20</f>
        <v>223.5</v>
      </c>
      <c r="Q23" s="1346">
        <f>'Allowed revenue -DPCR4'!E20</f>
        <v>208.8</v>
      </c>
      <c r="R23" s="1346">
        <f>'Allowed revenue -DPCR4'!F20</f>
        <v>196</v>
      </c>
      <c r="S23" s="1346">
        <f>'Allowed revenue -DPCR4'!G20</f>
        <v>183.9</v>
      </c>
      <c r="T23" s="1346">
        <f>'Allowed revenue -DPCR4'!H20</f>
        <v>173.5</v>
      </c>
      <c r="U23" s="1350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ht="12.75">
      <c r="A24" s="69"/>
      <c r="B24" s="69"/>
      <c r="C24" s="1346" t="s">
        <v>189</v>
      </c>
      <c r="D24" s="1346"/>
      <c r="E24" s="1350"/>
      <c r="F24" s="1350"/>
      <c r="G24" s="1350"/>
      <c r="H24" s="1350"/>
      <c r="I24" s="1350"/>
      <c r="J24" s="1350"/>
      <c r="K24" s="1354"/>
      <c r="L24" s="1346"/>
      <c r="M24" s="1346" t="s">
        <v>137</v>
      </c>
      <c r="N24" s="1346"/>
      <c r="O24" s="1346"/>
      <c r="P24" s="1346"/>
      <c r="Q24" s="1346"/>
      <c r="R24" s="1346"/>
      <c r="S24" s="1346"/>
      <c r="T24" s="1346">
        <f>'Allowed revenue -DPCR4'!H21</f>
        <v>85.4</v>
      </c>
      <c r="U24" s="1350"/>
      <c r="V24" s="69"/>
      <c r="W24" s="69"/>
      <c r="X24" s="69"/>
      <c r="Y24" s="69"/>
      <c r="Z24" s="69"/>
      <c r="AA24" s="69"/>
      <c r="AB24" s="69"/>
      <c r="AC24" s="69"/>
      <c r="AD24" s="69"/>
    </row>
    <row r="25" spans="1:30" ht="12.75">
      <c r="A25" s="69"/>
      <c r="B25" s="69"/>
      <c r="C25" s="1346"/>
      <c r="D25" s="1346"/>
      <c r="E25" s="1350"/>
      <c r="F25" s="1350"/>
      <c r="G25" s="1350"/>
      <c r="H25" s="1350"/>
      <c r="I25" s="1350"/>
      <c r="J25" s="1350"/>
      <c r="K25" s="1346"/>
      <c r="L25" s="1346"/>
      <c r="M25" s="1346" t="s">
        <v>190</v>
      </c>
      <c r="N25" s="1346"/>
      <c r="O25" s="1346"/>
      <c r="P25" s="1346"/>
      <c r="Q25" s="1346"/>
      <c r="R25" s="1346"/>
      <c r="S25" s="1346"/>
      <c r="T25" s="1346">
        <f>'Allowed revenue -DPCR4'!H22</f>
        <v>1071.1</v>
      </c>
      <c r="U25" s="1350"/>
      <c r="V25" s="69"/>
      <c r="W25" s="69"/>
      <c r="X25" s="69"/>
      <c r="Y25" s="69"/>
      <c r="Z25" s="69"/>
      <c r="AA25" s="69"/>
      <c r="AB25" s="69"/>
      <c r="AC25" s="69"/>
      <c r="AD25" s="69"/>
    </row>
    <row r="26" spans="1:30" ht="12.75">
      <c r="A26" s="69"/>
      <c r="B26" s="69"/>
      <c r="C26" s="1346" t="s">
        <v>151</v>
      </c>
      <c r="D26" s="1346"/>
      <c r="E26" s="1349">
        <f>E13</f>
        <v>80.2526</v>
      </c>
      <c r="F26" s="1349">
        <f>F13</f>
        <v>76.8526</v>
      </c>
      <c r="G26" s="1349"/>
      <c r="H26" s="1349">
        <f>H13</f>
        <v>74.8526</v>
      </c>
      <c r="I26" s="1349">
        <f>I13</f>
        <v>73.45259999999999</v>
      </c>
      <c r="J26" s="1349">
        <f>J13</f>
        <v>72.8526</v>
      </c>
      <c r="K26" s="1349"/>
      <c r="L26" s="1346"/>
      <c r="M26" s="1346"/>
      <c r="N26" s="1346"/>
      <c r="O26" s="1346"/>
      <c r="P26" s="1346"/>
      <c r="Q26" s="1346"/>
      <c r="R26" s="1346"/>
      <c r="S26" s="1346"/>
      <c r="T26" s="1346"/>
      <c r="U26" s="1346"/>
      <c r="V26" s="69"/>
      <c r="W26" s="69"/>
      <c r="X26" s="69"/>
      <c r="Y26" s="69"/>
      <c r="Z26" s="69"/>
      <c r="AA26" s="69"/>
      <c r="AB26" s="69"/>
      <c r="AC26" s="69"/>
      <c r="AD26" s="69"/>
    </row>
    <row r="27" spans="1:30" ht="12.75">
      <c r="A27" s="69"/>
      <c r="B27" s="69"/>
      <c r="C27" s="1346" t="s">
        <v>196</v>
      </c>
      <c r="D27" s="1346"/>
      <c r="E27" s="1349">
        <f>E16</f>
        <v>72.3</v>
      </c>
      <c r="F27" s="1349">
        <f>F16</f>
        <v>76.2</v>
      </c>
      <c r="G27" s="1349"/>
      <c r="H27" s="1349">
        <f>H16</f>
        <v>82.2</v>
      </c>
      <c r="I27" s="1349">
        <f>I16</f>
        <v>88.2</v>
      </c>
      <c r="J27" s="1349">
        <f>J16</f>
        <v>94.2</v>
      </c>
      <c r="K27" s="1347"/>
      <c r="L27" s="1346"/>
      <c r="M27" s="1351">
        <v>0.05545</v>
      </c>
      <c r="N27" s="1351"/>
      <c r="O27" s="1346"/>
      <c r="P27" s="1354">
        <f>1/(1+M27)</f>
        <v>0.9474631673693685</v>
      </c>
      <c r="Q27" s="1354">
        <f>P27/(1+M27)</f>
        <v>0.897686453521596</v>
      </c>
      <c r="R27" s="1354">
        <f>Q27/(1+M27)</f>
        <v>0.8505248505581467</v>
      </c>
      <c r="S27" s="1354">
        <f>R27/(1+M27)</f>
        <v>0.8058409688361805</v>
      </c>
      <c r="T27" s="1354">
        <f>S27/(1+M27)</f>
        <v>0.7635046367295282</v>
      </c>
      <c r="U27" s="1354"/>
      <c r="V27" s="69"/>
      <c r="W27" s="69"/>
      <c r="X27" s="69"/>
      <c r="Y27" s="69"/>
      <c r="Z27" s="69"/>
      <c r="AA27" s="69"/>
      <c r="AB27" s="69"/>
      <c r="AC27" s="69"/>
      <c r="AD27" s="69"/>
    </row>
    <row r="28" spans="1:30" ht="12.75">
      <c r="A28" s="69"/>
      <c r="B28" s="69"/>
      <c r="C28" s="1346" t="s">
        <v>51</v>
      </c>
      <c r="D28" s="1352"/>
      <c r="E28" s="1350">
        <f>E20</f>
        <v>57.69960365682705</v>
      </c>
      <c r="F28" s="1350">
        <f>F20</f>
        <v>58.27086908242482</v>
      </c>
      <c r="G28" s="1350"/>
      <c r="H28" s="1350">
        <f>H20</f>
        <v>55.88088671167943</v>
      </c>
      <c r="I28" s="1350">
        <f>I20</f>
        <v>53.25215213727726</v>
      </c>
      <c r="J28" s="1350">
        <f>J20</f>
        <v>49.723417562875014</v>
      </c>
      <c r="K28" s="1352"/>
      <c r="L28" s="1346"/>
      <c r="M28" s="1346"/>
      <c r="N28" s="1346"/>
      <c r="O28" s="1346"/>
      <c r="P28" s="1354">
        <v>1</v>
      </c>
      <c r="Q28" s="1354">
        <f>P27</f>
        <v>0.9474631673693685</v>
      </c>
      <c r="R28" s="1354">
        <f>Q27</f>
        <v>0.897686453521596</v>
      </c>
      <c r="S28" s="1354">
        <f>R27</f>
        <v>0.8505248505581467</v>
      </c>
      <c r="T28" s="1354">
        <f>S27</f>
        <v>0.8058409688361805</v>
      </c>
      <c r="U28" s="1354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ht="12.75">
      <c r="A29" s="69"/>
      <c r="B29" s="69"/>
      <c r="C29" s="1346"/>
      <c r="D29" s="1352"/>
      <c r="E29" s="1352"/>
      <c r="F29" s="1352"/>
      <c r="G29" s="1352"/>
      <c r="H29" s="1352"/>
      <c r="I29" s="1352"/>
      <c r="J29" s="1352"/>
      <c r="K29" s="1352"/>
      <c r="L29" s="1346"/>
      <c r="M29" s="1346"/>
      <c r="N29" s="1346"/>
      <c r="O29" s="1346"/>
      <c r="P29" s="1354">
        <f>1/(1+M27)^0.5</f>
        <v>0.9733771968612006</v>
      </c>
      <c r="Q29" s="1354">
        <f>1/(1+M27)^1.5</f>
        <v>0.9222390419832306</v>
      </c>
      <c r="R29" s="1354">
        <f>1/(1+M27)^2.5</f>
        <v>0.8737875237891236</v>
      </c>
      <c r="S29" s="1354">
        <f>1/(1+M27)^3.5</f>
        <v>0.8278814948970804</v>
      </c>
      <c r="T29" s="1354">
        <f>1/(1+M27)^4.5</f>
        <v>0.7843872233616755</v>
      </c>
      <c r="U29" s="1354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ht="12.75">
      <c r="A30" s="69"/>
      <c r="B30" s="69"/>
      <c r="C30" s="1346"/>
      <c r="D30" s="1346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69"/>
      <c r="W30" s="69"/>
      <c r="X30" s="69"/>
      <c r="Y30" s="69"/>
      <c r="Z30" s="69"/>
      <c r="AA30" s="69"/>
      <c r="AB30" s="69"/>
      <c r="AC30" s="69"/>
      <c r="AD30" s="69"/>
    </row>
    <row r="31" spans="1:30" ht="12.75">
      <c r="A31" s="69"/>
      <c r="B31" s="69"/>
      <c r="C31" s="1346"/>
      <c r="D31" s="1347"/>
      <c r="E31" s="1346"/>
      <c r="F31" s="1346"/>
      <c r="G31" s="1346"/>
      <c r="H31" s="1346"/>
      <c r="I31" s="1346"/>
      <c r="J31" s="1346"/>
      <c r="K31" s="1346"/>
      <c r="L31" s="1346"/>
      <c r="M31" s="1346" t="s">
        <v>194</v>
      </c>
      <c r="N31" s="1346"/>
      <c r="O31" s="1346"/>
      <c r="P31" s="1347">
        <f>'Allowed revenue -DPCR4'!D24</f>
        <v>1</v>
      </c>
      <c r="Q31" s="1347">
        <f>'Allowed revenue -DPCR4'!E24</f>
        <v>1.007</v>
      </c>
      <c r="R31" s="1347">
        <f>'Allowed revenue -DPCR4'!F24</f>
        <v>1.015</v>
      </c>
      <c r="S31" s="1347">
        <f>'Allowed revenue -DPCR4'!G24</f>
        <v>1.022</v>
      </c>
      <c r="T31" s="1347">
        <f>'Allowed revenue -DPCR4'!H24</f>
        <v>1.029</v>
      </c>
      <c r="U31" s="1347"/>
      <c r="V31" s="69"/>
      <c r="W31" s="69"/>
      <c r="X31" s="69"/>
      <c r="Y31" s="69"/>
      <c r="Z31" s="69"/>
      <c r="AA31" s="69"/>
      <c r="AB31" s="69"/>
      <c r="AC31" s="69"/>
      <c r="AD31" s="69"/>
    </row>
    <row r="32" spans="1:48" ht="12.75">
      <c r="A32" s="69"/>
      <c r="B32" s="69"/>
      <c r="C32" s="1346"/>
      <c r="D32" s="1347"/>
      <c r="E32" s="1346"/>
      <c r="F32" s="1346"/>
      <c r="G32" s="1346"/>
      <c r="H32" s="1346"/>
      <c r="I32" s="1346"/>
      <c r="J32" s="1346"/>
      <c r="K32" s="1346"/>
      <c r="L32" s="1346"/>
      <c r="M32" s="1346" t="s">
        <v>322</v>
      </c>
      <c r="N32" s="1346"/>
      <c r="O32" s="1346"/>
      <c r="P32" s="1355">
        <f>P31*P29</f>
        <v>0.9733771968612006</v>
      </c>
      <c r="Q32" s="1355">
        <f>Q31*Q29</f>
        <v>0.9286947152771131</v>
      </c>
      <c r="R32" s="1355">
        <f>R31*R29</f>
        <v>0.8868943366459604</v>
      </c>
      <c r="S32" s="1355">
        <f>S31*S29</f>
        <v>0.8460948877848162</v>
      </c>
      <c r="T32" s="1355">
        <f>T31*T29</f>
        <v>0.8071344528391641</v>
      </c>
      <c r="U32" s="1355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</row>
    <row r="33" spans="1:48" ht="12.75">
      <c r="A33" s="69"/>
      <c r="B33" s="69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 t="s">
        <v>66</v>
      </c>
      <c r="N33" s="1346"/>
      <c r="O33" s="1346"/>
      <c r="P33" s="1350">
        <f>($T$25-$O$39)/SUM($P$32:$V$32)*P31</f>
        <v>238.75220365682705</v>
      </c>
      <c r="Q33" s="1350">
        <f>($T$25-$O$39)/SUM($P$32:$V$32)*Q31</f>
        <v>240.42346908242482</v>
      </c>
      <c r="R33" s="1350">
        <f>($T$25-$O$39)/SUM($P$32:$V$32)*R31</f>
        <v>242.33348671167943</v>
      </c>
      <c r="S33" s="1350">
        <f>($T$25-$O$39)/SUM($P$32:$V$32)*S31</f>
        <v>244.00475213727725</v>
      </c>
      <c r="T33" s="1350">
        <f>($T$25-$O$39)/SUM($P$32:$V$32)*T31</f>
        <v>245.67601756287502</v>
      </c>
      <c r="U33" s="1350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249"/>
      <c r="AQ33" s="249"/>
      <c r="AR33" s="249"/>
      <c r="AS33" s="249"/>
      <c r="AT33" s="249"/>
      <c r="AU33" s="69"/>
      <c r="AV33" s="69"/>
    </row>
    <row r="34" spans="1:48" ht="12.75">
      <c r="A34" s="69"/>
      <c r="B34" s="69"/>
      <c r="C34" s="1346"/>
      <c r="D34" s="1346"/>
      <c r="E34" s="1346"/>
      <c r="F34" s="1346"/>
      <c r="G34" s="1346"/>
      <c r="H34" s="1346"/>
      <c r="I34" s="1346"/>
      <c r="J34" s="1346"/>
      <c r="K34" s="1346"/>
      <c r="L34" s="1346"/>
      <c r="M34" s="1346" t="s">
        <v>127</v>
      </c>
      <c r="N34" s="1346"/>
      <c r="O34" s="1346"/>
      <c r="P34" s="1346">
        <f>'Allowed revenue -DPCR4'!D27</f>
        <v>2.4</v>
      </c>
      <c r="Q34" s="1346">
        <f>'Allowed revenue -DPCR4'!E27</f>
        <v>2.4</v>
      </c>
      <c r="R34" s="1346">
        <f>'Allowed revenue -DPCR4'!F27</f>
        <v>2.4</v>
      </c>
      <c r="S34" s="1346">
        <f>'Allowed revenue -DPCR4'!G27</f>
        <v>2.4</v>
      </c>
      <c r="T34" s="1346">
        <f>'Allowed revenue -DPCR4'!H27</f>
        <v>2.4</v>
      </c>
      <c r="U34" s="1346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82"/>
      <c r="AQ34" s="82"/>
      <c r="AR34" s="82"/>
      <c r="AS34" s="82"/>
      <c r="AT34" s="82"/>
      <c r="AU34" s="69"/>
      <c r="AV34" s="69"/>
    </row>
    <row r="35" spans="1:48" ht="12.75">
      <c r="A35" s="69"/>
      <c r="B35" s="69"/>
      <c r="C35" s="1346"/>
      <c r="D35" s="1346"/>
      <c r="E35" s="1346"/>
      <c r="F35" s="1346"/>
      <c r="G35" s="1346"/>
      <c r="H35" s="1346"/>
      <c r="I35" s="1346"/>
      <c r="J35" s="1346"/>
      <c r="K35" s="1346"/>
      <c r="L35" s="1346"/>
      <c r="M35" s="1346" t="s">
        <v>128</v>
      </c>
      <c r="N35" s="1346"/>
      <c r="O35" s="1346"/>
      <c r="P35" s="1350">
        <f>P34+P33</f>
        <v>241.15220365682706</v>
      </c>
      <c r="Q35" s="1350">
        <f>Q34+Q33</f>
        <v>242.82346908242482</v>
      </c>
      <c r="R35" s="1350">
        <f>R34+R33</f>
        <v>244.73348671167943</v>
      </c>
      <c r="S35" s="1350">
        <f>S34+S33</f>
        <v>246.40475213727726</v>
      </c>
      <c r="T35" s="1350">
        <f>T34+T33</f>
        <v>248.07601756287502</v>
      </c>
      <c r="U35" s="1350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172"/>
      <c r="AT35" s="69"/>
      <c r="AU35" s="69"/>
      <c r="AV35" s="69"/>
    </row>
    <row r="36" spans="1:48" ht="12.75">
      <c r="A36" s="69"/>
      <c r="B36" s="69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 t="s">
        <v>56</v>
      </c>
      <c r="N36" s="1346"/>
      <c r="O36" s="1346"/>
      <c r="P36" s="1350">
        <f>P35*P29</f>
        <v>234.73205601238368</v>
      </c>
      <c r="Q36" s="1350">
        <f>Q35*Q29</f>
        <v>223.94128349762008</v>
      </c>
      <c r="R36" s="1350">
        <f>R35*R29</f>
        <v>213.84506734207676</v>
      </c>
      <c r="S36" s="1350">
        <f>S35*S29</f>
        <v>203.99393454915366</v>
      </c>
      <c r="T36" s="1350">
        <f>T35*T29</f>
        <v>194.58765859876578</v>
      </c>
      <c r="U36" s="1350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</row>
    <row r="37" spans="1:48" ht="12.75">
      <c r="A37" s="69"/>
      <c r="B37" s="69"/>
      <c r="C37" s="1346"/>
      <c r="D37" s="1346"/>
      <c r="E37" s="1346"/>
      <c r="F37" s="1346"/>
      <c r="G37" s="1346"/>
      <c r="H37" s="1346"/>
      <c r="I37" s="1346"/>
      <c r="J37" s="1346"/>
      <c r="K37" s="1346"/>
      <c r="L37" s="1346"/>
      <c r="M37" s="1346" t="s">
        <v>190</v>
      </c>
      <c r="N37" s="1346"/>
      <c r="O37" s="1346"/>
      <c r="P37" s="1346"/>
      <c r="Q37" s="1346"/>
      <c r="R37" s="1346"/>
      <c r="S37" s="1346"/>
      <c r="T37" s="1350">
        <f>SUM(P36:T36)</f>
        <v>1071.1</v>
      </c>
      <c r="U37" s="1350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</row>
    <row r="38" spans="1:48" ht="12.75">
      <c r="A38" s="69"/>
      <c r="B38" s="69"/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</row>
    <row r="39" spans="1:48" ht="12.75">
      <c r="A39" s="69"/>
      <c r="B39" s="69"/>
      <c r="C39" s="1346"/>
      <c r="D39" s="1346"/>
      <c r="E39" s="1346"/>
      <c r="F39" s="1346"/>
      <c r="G39" s="1346"/>
      <c r="H39" s="1346"/>
      <c r="I39" s="1346"/>
      <c r="J39" s="1346"/>
      <c r="K39" s="1346"/>
      <c r="L39" s="1346"/>
      <c r="M39" s="1346" t="s">
        <v>243</v>
      </c>
      <c r="N39" s="1346"/>
      <c r="O39" s="1350">
        <f>SUM(P39:T39)</f>
        <v>10.516013954141545</v>
      </c>
      <c r="P39" s="1350">
        <f>P34*P29</f>
        <v>2.3361052724668814</v>
      </c>
      <c r="Q39" s="1350">
        <f>Q34*Q29</f>
        <v>2.213373700759753</v>
      </c>
      <c r="R39" s="1350">
        <f>R34*R29</f>
        <v>2.0970900570938964</v>
      </c>
      <c r="S39" s="1350">
        <f>S34*S29</f>
        <v>1.986915587752993</v>
      </c>
      <c r="T39" s="1350">
        <f>T34*T29</f>
        <v>1.8825293360680213</v>
      </c>
      <c r="U39" s="135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</row>
    <row r="40" spans="1:48" s="269" customFormat="1" ht="12.75">
      <c r="A40" s="268"/>
      <c r="B40" s="268"/>
      <c r="O40" s="270"/>
      <c r="P40" s="270"/>
      <c r="Q40" s="270"/>
      <c r="R40" s="270"/>
      <c r="S40" s="270"/>
      <c r="T40" s="270"/>
      <c r="U40" s="270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</row>
    <row r="41" spans="1:48" s="272" customFormat="1" ht="12.75">
      <c r="A41" s="1345" t="s">
        <v>140</v>
      </c>
      <c r="B41" s="271"/>
      <c r="O41" s="273"/>
      <c r="P41" s="273"/>
      <c r="Q41" s="273"/>
      <c r="R41" s="273"/>
      <c r="S41" s="273"/>
      <c r="T41" s="273"/>
      <c r="U41" s="273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</row>
    <row r="42" spans="1:50" ht="12.75">
      <c r="A42" s="69"/>
      <c r="B42" s="69"/>
      <c r="C42" s="943"/>
      <c r="D42" s="943"/>
      <c r="E42" s="943"/>
      <c r="F42" s="943"/>
      <c r="G42" s="943"/>
      <c r="H42" s="943"/>
      <c r="I42" s="943"/>
      <c r="J42" s="943"/>
      <c r="K42" s="943"/>
      <c r="L42" s="943"/>
      <c r="M42" s="943"/>
      <c r="N42" s="943"/>
      <c r="O42" s="1356"/>
      <c r="P42" s="1356"/>
      <c r="Q42" s="1356"/>
      <c r="R42" s="1356"/>
      <c r="S42" s="1356"/>
      <c r="T42" s="1356"/>
      <c r="U42" s="1356"/>
      <c r="V42" s="1356"/>
      <c r="W42" s="1356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</row>
    <row r="43" spans="1:50" ht="25.5">
      <c r="A43" s="69"/>
      <c r="B43" s="69"/>
      <c r="C43" s="1357" t="s">
        <v>270</v>
      </c>
      <c r="D43" s="196" t="s">
        <v>570</v>
      </c>
      <c r="E43" s="197" t="s">
        <v>571</v>
      </c>
      <c r="F43" s="1401" t="s">
        <v>572</v>
      </c>
      <c r="G43" s="1401"/>
      <c r="H43" s="1401"/>
      <c r="I43" s="1401"/>
      <c r="J43" s="1401"/>
      <c r="K43" s="198"/>
      <c r="L43" s="1402" t="s">
        <v>660</v>
      </c>
      <c r="M43" s="1401"/>
      <c r="N43" s="1401"/>
      <c r="O43" s="1403"/>
      <c r="P43" s="199"/>
      <c r="Q43" s="1404"/>
      <c r="R43" s="1405"/>
      <c r="S43" s="1401"/>
      <c r="T43" s="1401"/>
      <c r="U43" s="1403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</row>
    <row r="44" spans="1:50" ht="12.75">
      <c r="A44" s="69"/>
      <c r="B44" s="69"/>
      <c r="C44" s="1358"/>
      <c r="D44" s="182"/>
      <c r="E44" s="200"/>
      <c r="F44" s="182" t="s">
        <v>815</v>
      </c>
      <c r="G44" s="182"/>
      <c r="H44" s="182" t="s">
        <v>694</v>
      </c>
      <c r="I44" s="182" t="s">
        <v>90</v>
      </c>
      <c r="J44" s="182" t="s">
        <v>695</v>
      </c>
      <c r="K44" s="201"/>
      <c r="L44" s="202" t="s">
        <v>815</v>
      </c>
      <c r="M44" s="182" t="s">
        <v>694</v>
      </c>
      <c r="N44" s="182" t="s">
        <v>90</v>
      </c>
      <c r="O44" s="203" t="s">
        <v>695</v>
      </c>
      <c r="P44" s="191"/>
      <c r="Q44" s="200"/>
      <c r="R44" s="177"/>
      <c r="S44" s="177"/>
      <c r="T44" s="177"/>
      <c r="U44" s="204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1:50" ht="12.75">
      <c r="A45" s="69"/>
      <c r="B45" s="69"/>
      <c r="C45" s="1358" t="s">
        <v>51</v>
      </c>
      <c r="D45" s="205">
        <f>SUM(E22:J22)</f>
        <v>419.82692915108356</v>
      </c>
      <c r="E45" s="1359" t="s">
        <v>86</v>
      </c>
      <c r="F45" s="189">
        <f>VLOOKUP($E45,'Calc-Drivers'!$B$17:$F$27,F$51,FALSE)</f>
        <v>0.5648993457354088</v>
      </c>
      <c r="G45" s="189"/>
      <c r="H45" s="189">
        <f>VLOOKUP($E45,'Calc-Drivers'!$B$17:$F$27,H$51,FALSE)</f>
        <v>0.20608048808998844</v>
      </c>
      <c r="I45" s="189">
        <f>VLOOKUP($E45,'Calc-Drivers'!$B$17:$F$27,I$51,FALSE)</f>
        <v>0.05317823044572097</v>
      </c>
      <c r="J45" s="189">
        <f>VLOOKUP($E45,'Calc-Drivers'!$B$17:$F$27,J$51,FALSE)</f>
        <v>0.1758419357288819</v>
      </c>
      <c r="K45" s="201"/>
      <c r="L45" s="207">
        <f>$D45*F45</f>
        <v>237.1599575995529</v>
      </c>
      <c r="M45" s="208">
        <f aca="true" t="shared" si="2" ref="M45:O47">$D45*H45</f>
        <v>86.5181384727763</v>
      </c>
      <c r="N45" s="208">
        <f t="shared" si="2"/>
        <v>22.32565318571569</v>
      </c>
      <c r="O45" s="209">
        <f t="shared" si="2"/>
        <v>73.8231798930387</v>
      </c>
      <c r="P45" s="191"/>
      <c r="Q45" s="210"/>
      <c r="R45" s="211"/>
      <c r="S45" s="210"/>
      <c r="T45" s="210"/>
      <c r="U45" s="210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</row>
    <row r="46" spans="1:50" ht="12.75">
      <c r="A46" s="69"/>
      <c r="B46" s="69"/>
      <c r="C46" s="1358" t="s">
        <v>196</v>
      </c>
      <c r="D46" s="205">
        <f>SUM(E16:J16)</f>
        <v>413.09999999999997</v>
      </c>
      <c r="E46" s="206" t="s">
        <v>86</v>
      </c>
      <c r="F46" s="189">
        <f>VLOOKUP($E46,'Calc-Drivers'!$B$17:$F$27,F$51,FALSE)</f>
        <v>0.5648993457354088</v>
      </c>
      <c r="G46" s="189"/>
      <c r="H46" s="189">
        <f>VLOOKUP($E46,'Calc-Drivers'!$B$17:$F$27,H$51,FALSE)</f>
        <v>0.20608048808998844</v>
      </c>
      <c r="I46" s="189">
        <f>VLOOKUP($E46,'Calc-Drivers'!$B$17:$F$27,I$51,FALSE)</f>
        <v>0.05317823044572097</v>
      </c>
      <c r="J46" s="189">
        <f>VLOOKUP($E46,'Calc-Drivers'!$B$17:$F$27,J$51,FALSE)</f>
        <v>0.1758419357288819</v>
      </c>
      <c r="K46" s="201"/>
      <c r="L46" s="207">
        <f>$D46*F46</f>
        <v>233.35991972329734</v>
      </c>
      <c r="M46" s="208">
        <f t="shared" si="2"/>
        <v>85.13184962997421</v>
      </c>
      <c r="N46" s="208">
        <f t="shared" si="2"/>
        <v>21.96792699712733</v>
      </c>
      <c r="O46" s="209">
        <f t="shared" si="2"/>
        <v>72.64030364960111</v>
      </c>
      <c r="P46" s="191"/>
      <c r="Q46" s="210"/>
      <c r="R46" s="211"/>
      <c r="S46" s="210"/>
      <c r="T46" s="210"/>
      <c r="U46" s="210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</row>
    <row r="47" spans="1:50" ht="12.75">
      <c r="A47" s="69"/>
      <c r="B47" s="69"/>
      <c r="C47" s="1360" t="s">
        <v>573</v>
      </c>
      <c r="D47" s="205">
        <f>SUM(E13:J13)</f>
        <v>378.263</v>
      </c>
      <c r="E47" s="206" t="s">
        <v>574</v>
      </c>
      <c r="F47" s="189">
        <f>'Calc - WPD Opex Allocation'!AO41</f>
        <v>0.25024433071284463</v>
      </c>
      <c r="H47" s="189">
        <f>'Calc - WPD Opex Allocation'!AP41</f>
        <v>0.19859307439590398</v>
      </c>
      <c r="I47" s="189">
        <f>'Calc - WPD Opex Allocation'!AQ41</f>
        <v>0.08969831053672904</v>
      </c>
      <c r="J47" s="189">
        <f>'Calc - WPD Opex Allocation'!AR41</f>
        <v>0.4614642843545223</v>
      </c>
      <c r="K47" s="201"/>
      <c r="L47" s="207">
        <f>$D47*F47</f>
        <v>94.65817126843274</v>
      </c>
      <c r="M47" s="208">
        <f t="shared" si="2"/>
        <v>75.12041210021782</v>
      </c>
      <c r="N47" s="208">
        <f t="shared" si="2"/>
        <v>33.92955203855473</v>
      </c>
      <c r="O47" s="209">
        <f>$D47*J47</f>
        <v>174.55486459279467</v>
      </c>
      <c r="P47" s="191"/>
      <c r="Q47" s="210"/>
      <c r="R47" s="211"/>
      <c r="S47" s="210"/>
      <c r="T47" s="210"/>
      <c r="U47" s="210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1:50" ht="12.75">
      <c r="A48" s="69"/>
      <c r="B48" s="69"/>
      <c r="C48" s="200"/>
      <c r="D48" s="205"/>
      <c r="E48" s="200"/>
      <c r="F48" s="177"/>
      <c r="G48" s="177"/>
      <c r="H48" s="177"/>
      <c r="I48" s="177"/>
      <c r="J48" s="177"/>
      <c r="K48" s="201"/>
      <c r="L48" s="202"/>
      <c r="M48" s="182"/>
      <c r="N48" s="208"/>
      <c r="O48" s="203"/>
      <c r="P48" s="191"/>
      <c r="Q48" s="212"/>
      <c r="R48" s="191"/>
      <c r="S48" s="191"/>
      <c r="T48" s="211"/>
      <c r="U48" s="204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</row>
    <row r="49" spans="1:50" ht="12.75">
      <c r="A49" s="69"/>
      <c r="B49" s="69"/>
      <c r="C49" s="1360" t="s">
        <v>816</v>
      </c>
      <c r="D49" s="205">
        <f>SUM(D45:D47)</f>
        <v>1211.1899291510836</v>
      </c>
      <c r="E49" s="200"/>
      <c r="F49" s="177"/>
      <c r="G49" s="177"/>
      <c r="H49" s="177"/>
      <c r="I49" s="177"/>
      <c r="J49" s="177"/>
      <c r="K49" s="201"/>
      <c r="L49" s="207">
        <f>SUM(L45:L48)</f>
        <v>565.178048591283</v>
      </c>
      <c r="M49" s="208">
        <f>SUM(M45:M48)</f>
        <v>246.77040020296835</v>
      </c>
      <c r="N49" s="208">
        <f>SUM(N45:N48)</f>
        <v>78.22313222139775</v>
      </c>
      <c r="O49" s="209">
        <f>SUM(O45:O48)</f>
        <v>321.0183481354345</v>
      </c>
      <c r="P49" s="191"/>
      <c r="Q49" s="213"/>
      <c r="R49" s="214"/>
      <c r="S49" s="214"/>
      <c r="T49" s="214"/>
      <c r="U49" s="215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</row>
    <row r="50" spans="1:50" ht="12.75">
      <c r="A50" s="69"/>
      <c r="B50" s="69"/>
      <c r="C50" s="216"/>
      <c r="D50" s="217"/>
      <c r="E50" s="216"/>
      <c r="F50" s="217"/>
      <c r="G50" s="217"/>
      <c r="H50" s="217"/>
      <c r="I50" s="217"/>
      <c r="J50" s="217"/>
      <c r="K50" s="218"/>
      <c r="L50" s="219">
        <f>L49/SUM($L$49:$O$49)</f>
        <v>0.4666304061720635</v>
      </c>
      <c r="M50" s="219">
        <f>M49/SUM($L$49:$O$49)</f>
        <v>0.20374211695760083</v>
      </c>
      <c r="N50" s="219">
        <f>N49/SUM($L$49:$O$49)</f>
        <v>0.06458370428841323</v>
      </c>
      <c r="O50" s="219">
        <f>O49/SUM($L$49:$O$49)</f>
        <v>0.2650437725819224</v>
      </c>
      <c r="P50" s="220"/>
      <c r="Q50" s="221"/>
      <c r="R50" s="221"/>
      <c r="S50" s="221"/>
      <c r="T50" s="221"/>
      <c r="U50" s="221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</row>
    <row r="51" spans="1:50" ht="12.75">
      <c r="A51" s="69"/>
      <c r="B51" s="69"/>
      <c r="C51" s="69"/>
      <c r="D51" s="69"/>
      <c r="E51" s="69"/>
      <c r="F51" s="69">
        <v>5</v>
      </c>
      <c r="G51" s="69"/>
      <c r="H51" s="69">
        <v>4</v>
      </c>
      <c r="I51" s="69">
        <v>3</v>
      </c>
      <c r="J51" s="69">
        <v>2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</row>
    <row r="52" spans="1:50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</row>
    <row r="53" spans="1:50" ht="12.75">
      <c r="A53" s="69"/>
      <c r="B53" s="69"/>
      <c r="C53" s="69"/>
      <c r="D53" s="69"/>
      <c r="E53" s="1361" t="s">
        <v>143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</row>
    <row r="54" spans="1:50" ht="12.75">
      <c r="A54" s="69"/>
      <c r="B54" s="69"/>
      <c r="C54" s="69"/>
      <c r="D54" s="69"/>
      <c r="E54" s="1361" t="s">
        <v>144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</row>
    <row r="55" spans="1:50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</row>
    <row r="56" spans="1:48" s="272" customFormat="1" ht="12.75">
      <c r="A56" s="1345" t="s">
        <v>141</v>
      </c>
      <c r="B56" s="271"/>
      <c r="O56" s="273"/>
      <c r="P56" s="273"/>
      <c r="Q56" s="273"/>
      <c r="R56" s="273"/>
      <c r="S56" s="273"/>
      <c r="T56" s="273"/>
      <c r="U56" s="273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</row>
    <row r="58" spans="2:8" ht="13.5" thickBot="1">
      <c r="B58" s="1406" t="s">
        <v>279</v>
      </c>
      <c r="C58" s="1406"/>
      <c r="D58" s="1406"/>
      <c r="E58" s="1406"/>
      <c r="F58" s="1406"/>
      <c r="G58" s="1406"/>
      <c r="H58" s="1406"/>
    </row>
    <row r="59" spans="2:19" ht="13.5" thickBot="1">
      <c r="B59" s="162" t="s">
        <v>496</v>
      </c>
      <c r="C59" s="163"/>
      <c r="D59" s="163"/>
      <c r="E59" s="163"/>
      <c r="F59" s="163"/>
      <c r="G59" s="222">
        <f>'Summary of revenue'!J11</f>
        <v>274.191564</v>
      </c>
      <c r="H59" s="164">
        <f>G59/$G$64</f>
        <v>0.9608427703997242</v>
      </c>
      <c r="K59" s="169"/>
      <c r="L59" s="169"/>
      <c r="M59" s="169"/>
      <c r="N59" s="169"/>
      <c r="O59" s="169"/>
      <c r="P59" s="169"/>
      <c r="Q59" s="169"/>
      <c r="R59" s="169"/>
      <c r="S59" s="169" t="s">
        <v>660</v>
      </c>
    </row>
    <row r="60" spans="2:19" ht="13.5" thickBot="1">
      <c r="B60" s="165" t="s">
        <v>215</v>
      </c>
      <c r="C60" s="166"/>
      <c r="D60" s="166"/>
      <c r="E60" s="166"/>
      <c r="F60" s="166"/>
      <c r="G60" s="222">
        <f>'Summary of revenue'!J12</f>
        <v>-3.637995</v>
      </c>
      <c r="H60" s="164">
        <f>G60/$G$64</f>
        <v>-0.01274853661982228</v>
      </c>
      <c r="K60" s="169"/>
      <c r="L60" s="169"/>
      <c r="M60" s="169"/>
      <c r="N60" s="169"/>
      <c r="O60" s="169"/>
      <c r="P60" s="169"/>
      <c r="Q60" s="169"/>
      <c r="R60" s="169"/>
      <c r="S60" s="169"/>
    </row>
    <row r="61" spans="2:20" ht="13.5" thickBot="1">
      <c r="B61" s="165" t="s">
        <v>36</v>
      </c>
      <c r="C61" s="166"/>
      <c r="D61" s="166"/>
      <c r="E61" s="166"/>
      <c r="F61" s="166"/>
      <c r="G61" s="222">
        <f>'Summary of revenue'!J13</f>
        <v>7.172595</v>
      </c>
      <c r="H61" s="164">
        <f>G61/$G$64</f>
        <v>0.025134748677954254</v>
      </c>
      <c r="K61" s="169" t="s">
        <v>211</v>
      </c>
      <c r="L61" s="169"/>
      <c r="M61" s="169"/>
      <c r="N61" s="169"/>
      <c r="O61" s="169"/>
      <c r="P61" s="169"/>
      <c r="Q61" s="169"/>
      <c r="R61" s="169"/>
      <c r="S61" s="170">
        <f>G64</f>
        <v>285.3656940000001</v>
      </c>
      <c r="T61" s="1277" t="s">
        <v>476</v>
      </c>
    </row>
    <row r="62" spans="2:20" ht="13.5" thickBot="1">
      <c r="B62" s="1362" t="s">
        <v>42</v>
      </c>
      <c r="C62" s="166"/>
      <c r="D62" s="166"/>
      <c r="E62" s="166"/>
      <c r="F62" s="166"/>
      <c r="G62" s="222">
        <f>'Summary of revenue'!J21</f>
        <v>-0.97047</v>
      </c>
      <c r="H62" s="164">
        <f>G62/$G$64</f>
        <v>-0.003400794210393068</v>
      </c>
      <c r="K62" s="169"/>
      <c r="L62" s="169"/>
      <c r="M62" s="169"/>
      <c r="N62" s="169"/>
      <c r="O62" s="169"/>
      <c r="P62" s="169"/>
      <c r="Q62" s="169"/>
      <c r="R62" s="169"/>
      <c r="S62" s="170"/>
      <c r="T62" s="1277"/>
    </row>
    <row r="63" spans="2:20" ht="15" thickBot="1">
      <c r="B63" s="165" t="s">
        <v>37</v>
      </c>
      <c r="C63" s="166"/>
      <c r="D63" s="166"/>
      <c r="E63" s="166"/>
      <c r="F63" s="166"/>
      <c r="G63" s="222">
        <f>'Summary of revenue'!J46+'Summary of revenue'!J47</f>
        <v>8.61</v>
      </c>
      <c r="H63" s="164">
        <f>G63/$G$64</f>
        <v>0.03017181175253672</v>
      </c>
      <c r="K63" s="169" t="s">
        <v>195</v>
      </c>
      <c r="L63" s="169"/>
      <c r="M63" s="169"/>
      <c r="N63" s="169"/>
      <c r="O63" s="169"/>
      <c r="P63" s="171" t="s">
        <v>797</v>
      </c>
      <c r="Q63" s="169"/>
      <c r="R63" s="169"/>
      <c r="S63" s="170">
        <f>IF(P63="Y",-G61,0)</f>
        <v>-7.172595</v>
      </c>
      <c r="T63" s="1277" t="s">
        <v>476</v>
      </c>
    </row>
    <row r="64" spans="2:20" ht="15" thickBot="1">
      <c r="B64" s="167" t="s">
        <v>816</v>
      </c>
      <c r="C64" s="168"/>
      <c r="D64" s="168"/>
      <c r="E64" s="168"/>
      <c r="F64" s="168"/>
      <c r="G64" s="222">
        <f>SUM(G59:G63)</f>
        <v>285.3656940000001</v>
      </c>
      <c r="H64" s="164">
        <f>SUM(H59:H63)</f>
        <v>0.9999999999999999</v>
      </c>
      <c r="K64" s="169" t="s">
        <v>130</v>
      </c>
      <c r="L64" s="169"/>
      <c r="M64" s="169"/>
      <c r="N64" s="169"/>
      <c r="O64" s="169"/>
      <c r="P64" s="171" t="s">
        <v>133</v>
      </c>
      <c r="Q64" s="169"/>
      <c r="R64" s="169"/>
      <c r="S64" s="170">
        <f>IF(P64="Y",-G66,0)</f>
        <v>0</v>
      </c>
      <c r="T64" s="1277" t="s">
        <v>25</v>
      </c>
    </row>
    <row r="65" spans="11:19" ht="14.25">
      <c r="K65" s="169" t="s">
        <v>29</v>
      </c>
      <c r="L65" s="169"/>
      <c r="M65" s="169"/>
      <c r="N65" s="169"/>
      <c r="O65" s="169"/>
      <c r="P65" s="171" t="s">
        <v>797</v>
      </c>
      <c r="Q65" s="169"/>
      <c r="R65" s="169"/>
      <c r="S65" s="170">
        <f>IF(P65="Y",-'RRP 1.3'!AH12,0)</f>
        <v>-8</v>
      </c>
    </row>
    <row r="66" spans="2:19" ht="12.75">
      <c r="B66" s="274" t="s">
        <v>26</v>
      </c>
      <c r="G66" s="166">
        <v>0</v>
      </c>
      <c r="H66" s="1277" t="s">
        <v>25</v>
      </c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1:19" ht="12.75">
      <c r="K67" s="169" t="s">
        <v>138</v>
      </c>
      <c r="L67" s="169"/>
      <c r="M67" s="169"/>
      <c r="N67" s="169"/>
      <c r="O67" s="169"/>
      <c r="P67" s="169"/>
      <c r="Q67" s="169"/>
      <c r="R67" s="169"/>
      <c r="S67" s="170">
        <f>S61+S63+S64+S65</f>
        <v>270.1930990000001</v>
      </c>
    </row>
    <row r="68" spans="2:19" ht="12.7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5:19" s="100" customFormat="1" ht="39" customHeight="1" thickBot="1">
      <c r="E69" s="1407" t="s">
        <v>142</v>
      </c>
      <c r="F69" s="1408"/>
      <c r="G69" s="1408"/>
      <c r="H69" s="1408"/>
      <c r="I69" s="1408"/>
      <c r="J69" s="1408"/>
      <c r="K69" s="1408"/>
      <c r="L69" s="1409"/>
      <c r="M69" s="1407" t="s">
        <v>422</v>
      </c>
      <c r="N69" s="1408"/>
      <c r="O69" s="1408"/>
      <c r="P69" s="1408"/>
      <c r="Q69" s="1408"/>
      <c r="R69" s="1408"/>
      <c r="S69" s="1409"/>
    </row>
    <row r="70" spans="2:19" ht="12.75">
      <c r="B70" s="173" t="s">
        <v>74</v>
      </c>
      <c r="C70" s="174"/>
      <c r="D70" s="174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8"/>
    </row>
    <row r="71" spans="2:19" ht="13.5" thickBot="1"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8"/>
    </row>
    <row r="72" spans="2:19" ht="12.75">
      <c r="B72" s="173"/>
      <c r="C72" s="174"/>
      <c r="D72" s="174"/>
      <c r="E72" s="1397" t="s">
        <v>660</v>
      </c>
      <c r="F72" s="1398"/>
      <c r="G72" s="1398"/>
      <c r="H72" s="1398"/>
      <c r="I72" s="1398"/>
      <c r="J72" s="1398"/>
      <c r="K72" s="1398"/>
      <c r="L72" s="175"/>
      <c r="M72" s="1397" t="s">
        <v>50</v>
      </c>
      <c r="N72" s="1399"/>
      <c r="O72" s="1399"/>
      <c r="P72" s="1399"/>
      <c r="Q72" s="1399"/>
      <c r="R72" s="1398"/>
      <c r="S72" s="1400"/>
    </row>
    <row r="73" spans="2:19" ht="12.75">
      <c r="B73" s="176"/>
      <c r="C73" s="177"/>
      <c r="D73" s="177"/>
      <c r="E73" s="179" t="s">
        <v>816</v>
      </c>
      <c r="F73" s="179"/>
      <c r="G73" s="179" t="s">
        <v>815</v>
      </c>
      <c r="H73" s="179" t="s">
        <v>694</v>
      </c>
      <c r="I73" s="179" t="s">
        <v>90</v>
      </c>
      <c r="J73" s="179" t="s">
        <v>695</v>
      </c>
      <c r="K73" s="179" t="s">
        <v>109</v>
      </c>
      <c r="L73" s="179"/>
      <c r="M73" s="180" t="s">
        <v>815</v>
      </c>
      <c r="N73" s="180" t="s">
        <v>694</v>
      </c>
      <c r="O73" s="180" t="s">
        <v>90</v>
      </c>
      <c r="P73" s="180" t="s">
        <v>695</v>
      </c>
      <c r="Q73" s="179" t="s">
        <v>109</v>
      </c>
      <c r="R73" s="179"/>
      <c r="S73" s="179" t="s">
        <v>816</v>
      </c>
    </row>
    <row r="74" spans="2:19" ht="12.75">
      <c r="B74" s="176"/>
      <c r="C74" s="177"/>
      <c r="D74" s="177"/>
      <c r="E74" s="176"/>
      <c r="F74" s="177"/>
      <c r="G74" s="177"/>
      <c r="H74" s="177"/>
      <c r="I74" s="177"/>
      <c r="J74" s="177"/>
      <c r="K74" s="177"/>
      <c r="L74" s="178"/>
      <c r="M74" s="181"/>
      <c r="N74" s="182"/>
      <c r="O74" s="182"/>
      <c r="P74" s="182"/>
      <c r="Q74" s="177"/>
      <c r="R74" s="177"/>
      <c r="S74" s="178"/>
    </row>
    <row r="75" spans="2:19" ht="12.75">
      <c r="B75" s="176" t="s">
        <v>292</v>
      </c>
      <c r="C75" s="177"/>
      <c r="D75" s="177"/>
      <c r="E75" s="183">
        <f>SUM(G75:K75)</f>
        <v>285.3656940000001</v>
      </c>
      <c r="F75" s="177"/>
      <c r="G75" s="184">
        <f>$S$67*L50</f>
        <v>126.0803155312586</v>
      </c>
      <c r="H75" s="184">
        <f>$S$67*M50</f>
        <v>55.049713977594635</v>
      </c>
      <c r="I75" s="184">
        <f>$S$67*N50</f>
        <v>17.450071206585964</v>
      </c>
      <c r="J75" s="184">
        <f>$S$67*O50</f>
        <v>71.61299828456087</v>
      </c>
      <c r="K75" s="223">
        <f>S61-S67</f>
        <v>15.172595000000001</v>
      </c>
      <c r="L75" s="178"/>
      <c r="M75" s="185">
        <f>G75*100000000/'Calc-Units'!E21</f>
        <v>0.47661284372409585</v>
      </c>
      <c r="N75" s="185">
        <f>H75*100000000/'Calc-Units'!D21</f>
        <v>0.21283502182497496</v>
      </c>
      <c r="O75" s="185">
        <f>I75*100000000/'Calc-Units'!C21</f>
        <v>0.10214277222305058</v>
      </c>
      <c r="P75" s="185">
        <f>J75*100000000/'Calc-Units'!C21</f>
        <v>0.41918168042941273</v>
      </c>
      <c r="Q75" s="185">
        <f>K75*100000000/'Calc-Units'!E21</f>
        <v>0.05735592918809861</v>
      </c>
      <c r="R75" s="177"/>
      <c r="S75" s="185"/>
    </row>
    <row r="76" spans="2:19" ht="12.75">
      <c r="B76" s="176"/>
      <c r="C76" s="177"/>
      <c r="D76" s="177"/>
      <c r="E76" s="176"/>
      <c r="F76" s="177"/>
      <c r="G76" s="177"/>
      <c r="H76" s="177"/>
      <c r="I76" s="177"/>
      <c r="J76" s="177"/>
      <c r="K76" s="177"/>
      <c r="L76" s="178"/>
      <c r="M76" s="181"/>
      <c r="N76" s="182"/>
      <c r="O76" s="182"/>
      <c r="P76" s="182"/>
      <c r="Q76" s="182"/>
      <c r="R76" s="177"/>
      <c r="S76" s="178"/>
    </row>
    <row r="77" spans="2:19" ht="12.75">
      <c r="B77" s="176"/>
      <c r="C77" s="177"/>
      <c r="D77" s="177"/>
      <c r="E77" s="176"/>
      <c r="F77" s="177"/>
      <c r="G77" s="177"/>
      <c r="H77" s="177"/>
      <c r="I77" s="177"/>
      <c r="J77" s="177"/>
      <c r="K77" s="177"/>
      <c r="L77" s="178"/>
      <c r="M77" s="181"/>
      <c r="N77" s="182"/>
      <c r="O77" s="182"/>
      <c r="P77" s="182"/>
      <c r="Q77" s="182"/>
      <c r="R77" s="177"/>
      <c r="S77" s="178"/>
    </row>
    <row r="78" spans="2:19" ht="12.75">
      <c r="B78" s="176" t="s">
        <v>191</v>
      </c>
      <c r="C78" s="177"/>
      <c r="D78" s="177"/>
      <c r="E78" s="176"/>
      <c r="F78" s="177"/>
      <c r="G78" s="177"/>
      <c r="H78" s="177"/>
      <c r="I78" s="177"/>
      <c r="J78" s="177"/>
      <c r="K78" s="177"/>
      <c r="L78" s="178"/>
      <c r="M78" s="185">
        <f>M75</f>
        <v>0.47661284372409585</v>
      </c>
      <c r="N78" s="186">
        <f>N75</f>
        <v>0.21283502182497496</v>
      </c>
      <c r="O78" s="186">
        <f>O75</f>
        <v>0.10214277222305058</v>
      </c>
      <c r="P78" s="186">
        <f>P75</f>
        <v>0.41918168042941273</v>
      </c>
      <c r="Q78" s="186">
        <f>Q75</f>
        <v>0.05735592918809861</v>
      </c>
      <c r="R78" s="177"/>
      <c r="S78" s="187">
        <f>SUM(M78:Q78)</f>
        <v>1.2681282473896325</v>
      </c>
    </row>
    <row r="79" spans="2:19" ht="12.75">
      <c r="B79" s="176" t="s">
        <v>192</v>
      </c>
      <c r="C79" s="177"/>
      <c r="D79" s="177"/>
      <c r="E79" s="176"/>
      <c r="F79" s="177"/>
      <c r="G79" s="177"/>
      <c r="H79" s="177"/>
      <c r="I79" s="177"/>
      <c r="J79" s="177"/>
      <c r="K79" s="177"/>
      <c r="L79" s="178"/>
      <c r="M79" s="185"/>
      <c r="N79" s="186"/>
      <c r="O79" s="186"/>
      <c r="P79" s="182"/>
      <c r="Q79" s="186"/>
      <c r="R79" s="177"/>
      <c r="S79" s="187"/>
    </row>
    <row r="80" spans="2:19" ht="12.75">
      <c r="B80" s="176" t="s">
        <v>193</v>
      </c>
      <c r="C80" s="177"/>
      <c r="D80" s="177"/>
      <c r="E80" s="176"/>
      <c r="F80" s="177"/>
      <c r="G80" s="177"/>
      <c r="H80" s="177"/>
      <c r="I80" s="177"/>
      <c r="J80" s="177"/>
      <c r="K80" s="177"/>
      <c r="L80" s="178"/>
      <c r="M80" s="185"/>
      <c r="N80" s="182"/>
      <c r="O80" s="182"/>
      <c r="P80" s="182"/>
      <c r="Q80" s="186"/>
      <c r="R80" s="177"/>
      <c r="S80" s="187"/>
    </row>
    <row r="81" spans="2:19" ht="12.75">
      <c r="B81" s="176"/>
      <c r="C81" s="177"/>
      <c r="D81" s="177"/>
      <c r="E81" s="176"/>
      <c r="F81" s="177"/>
      <c r="G81" s="177"/>
      <c r="H81" s="177"/>
      <c r="I81" s="177"/>
      <c r="J81" s="177"/>
      <c r="K81" s="177"/>
      <c r="L81" s="178"/>
      <c r="M81" s="181"/>
      <c r="N81" s="182"/>
      <c r="O81" s="182"/>
      <c r="P81" s="182"/>
      <c r="Q81" s="182"/>
      <c r="R81" s="177"/>
      <c r="S81" s="178"/>
    </row>
    <row r="82" spans="2:19" ht="12.75">
      <c r="B82" s="176" t="s">
        <v>191</v>
      </c>
      <c r="C82" s="177"/>
      <c r="D82" s="177"/>
      <c r="E82" s="176"/>
      <c r="F82" s="177"/>
      <c r="G82" s="177"/>
      <c r="H82" s="177"/>
      <c r="I82" s="177"/>
      <c r="J82" s="177"/>
      <c r="K82" s="177"/>
      <c r="L82" s="178"/>
      <c r="M82" s="1363">
        <f>M78/$S78</f>
        <v>0.3758396240326445</v>
      </c>
      <c r="N82" s="1363">
        <f>N78/$S78</f>
        <v>0.1678339886072906</v>
      </c>
      <c r="O82" s="1363">
        <f>O78/$S78</f>
        <v>0.08054609021863954</v>
      </c>
      <c r="P82" s="1363">
        <f>P78/$S78</f>
        <v>0.3305514890093124</v>
      </c>
      <c r="Q82" s="1363">
        <f>Q78/$S78</f>
        <v>0.045228808132113156</v>
      </c>
      <c r="R82" s="1364"/>
      <c r="S82" s="1365">
        <f>SUM(M82:Q82)</f>
        <v>1.0000000000000002</v>
      </c>
    </row>
    <row r="83" spans="2:19" ht="12.75">
      <c r="B83" s="176" t="s">
        <v>192</v>
      </c>
      <c r="C83" s="177"/>
      <c r="D83" s="177"/>
      <c r="E83" s="176"/>
      <c r="F83" s="177"/>
      <c r="G83" s="177"/>
      <c r="H83" s="177"/>
      <c r="I83" s="177"/>
      <c r="J83" s="177"/>
      <c r="K83" s="177"/>
      <c r="L83" s="178"/>
      <c r="M83" s="188"/>
      <c r="N83" s="188"/>
      <c r="O83" s="188"/>
      <c r="P83" s="188"/>
      <c r="Q83" s="188"/>
      <c r="R83" s="191"/>
      <c r="S83" s="190"/>
    </row>
    <row r="84" spans="2:19" ht="13.5" thickBot="1">
      <c r="B84" s="192" t="s">
        <v>193</v>
      </c>
      <c r="C84" s="193"/>
      <c r="D84" s="193"/>
      <c r="E84" s="192"/>
      <c r="F84" s="193"/>
      <c r="G84" s="193"/>
      <c r="H84" s="193"/>
      <c r="I84" s="193"/>
      <c r="J84" s="193"/>
      <c r="K84" s="193"/>
      <c r="L84" s="194"/>
      <c r="M84" s="188"/>
      <c r="N84" s="188"/>
      <c r="O84" s="188"/>
      <c r="P84" s="188"/>
      <c r="Q84" s="188"/>
      <c r="R84" s="195"/>
      <c r="S84" s="190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G11" sqref="G11"/>
    </sheetView>
  </sheetViews>
  <sheetFormatPr defaultColWidth="8.8515625" defaultRowHeight="12.75"/>
  <cols>
    <col min="1" max="1" width="8.140625" style="912" customWidth="1"/>
    <col min="2" max="2" width="15.421875" style="912" customWidth="1"/>
    <col min="3" max="3" width="48.7109375" style="912" bestFit="1" customWidth="1"/>
    <col min="4" max="4" width="15.421875" style="912" bestFit="1" customWidth="1"/>
    <col min="5" max="6" width="8.8515625" style="912" customWidth="1"/>
    <col min="7" max="7" width="13.421875" style="912" customWidth="1"/>
    <col min="8" max="16384" width="8.8515625" style="912" customWidth="1"/>
  </cols>
  <sheetData>
    <row r="1" spans="1:9" ht="12.75" customHeight="1">
      <c r="A1" s="909" t="s">
        <v>662</v>
      </c>
      <c r="B1" s="910"/>
      <c r="C1" s="910"/>
      <c r="D1" s="910"/>
      <c r="E1" s="910"/>
      <c r="F1" s="911" t="s">
        <v>795</v>
      </c>
      <c r="G1" s="910"/>
      <c r="H1" s="910"/>
      <c r="I1" s="910"/>
    </row>
    <row r="2" spans="1:9" s="915" customFormat="1" ht="12.75">
      <c r="A2" s="913"/>
      <c r="B2" s="914"/>
      <c r="C2" s="914"/>
      <c r="D2" s="914"/>
      <c r="E2" s="914"/>
      <c r="F2" s="914"/>
      <c r="G2" s="914"/>
      <c r="H2" s="914"/>
      <c r="I2" s="914"/>
    </row>
    <row r="3" spans="1:9" ht="12.75">
      <c r="A3" s="909" t="s">
        <v>535</v>
      </c>
      <c r="B3" s="910"/>
      <c r="C3" s="910"/>
      <c r="D3" s="910"/>
      <c r="E3" s="910"/>
      <c r="F3" s="910"/>
      <c r="G3" s="910"/>
      <c r="H3" s="910"/>
      <c r="I3" s="910"/>
    </row>
    <row r="4" spans="1:9" ht="12.75">
      <c r="A4" s="909"/>
      <c r="B4" s="910"/>
      <c r="C4" s="910"/>
      <c r="D4" s="910"/>
      <c r="E4" s="910"/>
      <c r="F4" s="910"/>
      <c r="G4" s="910"/>
      <c r="H4" s="910"/>
      <c r="I4" s="910"/>
    </row>
    <row r="5" spans="1:7" ht="20.25">
      <c r="A5" s="1571" t="s">
        <v>536</v>
      </c>
      <c r="B5" s="1571"/>
      <c r="C5" s="1571"/>
      <c r="D5" s="880"/>
      <c r="E5" s="881"/>
      <c r="F5" s="881"/>
      <c r="G5" s="881"/>
    </row>
    <row r="6" spans="1:7" ht="15" thickBot="1">
      <c r="A6" s="882"/>
      <c r="B6" s="882"/>
      <c r="C6" s="395"/>
      <c r="D6" s="395"/>
      <c r="E6" s="883"/>
      <c r="F6" s="883"/>
      <c r="G6" s="883"/>
    </row>
    <row r="7" spans="1:9" ht="15.75" thickBot="1">
      <c r="A7" s="882"/>
      <c r="B7" s="882"/>
      <c r="C7" s="884"/>
      <c r="D7" s="885" t="s">
        <v>673</v>
      </c>
      <c r="E7" s="885" t="s">
        <v>674</v>
      </c>
      <c r="F7" s="885" t="s">
        <v>675</v>
      </c>
      <c r="G7" s="885" t="s">
        <v>535</v>
      </c>
      <c r="H7" s="912" t="s">
        <v>676</v>
      </c>
      <c r="I7" s="912" t="s">
        <v>538</v>
      </c>
    </row>
    <row r="8" spans="1:8" ht="15">
      <c r="A8" s="882"/>
      <c r="B8" s="882"/>
      <c r="C8" s="886" t="s">
        <v>681</v>
      </c>
      <c r="D8" s="887"/>
      <c r="E8" s="1572" t="s">
        <v>682</v>
      </c>
      <c r="F8" s="1573"/>
      <c r="G8" s="888"/>
      <c r="H8" s="912" t="s">
        <v>561</v>
      </c>
    </row>
    <row r="9" spans="1:7" ht="14.25">
      <c r="A9" s="882"/>
      <c r="B9" s="882"/>
      <c r="C9" s="889" t="s">
        <v>562</v>
      </c>
      <c r="D9" s="890" t="s">
        <v>563</v>
      </c>
      <c r="E9" s="891"/>
      <c r="F9" s="892"/>
      <c r="G9" s="893">
        <v>2434837</v>
      </c>
    </row>
    <row r="10" spans="1:7" ht="14.25">
      <c r="A10" s="882"/>
      <c r="B10" s="882"/>
      <c r="C10" s="889" t="s">
        <v>564</v>
      </c>
      <c r="D10" s="890" t="s">
        <v>565</v>
      </c>
      <c r="E10" s="891"/>
      <c r="F10" s="892"/>
      <c r="G10" s="893">
        <v>2920359</v>
      </c>
    </row>
    <row r="11" spans="1:7" ht="14.25">
      <c r="A11" s="882"/>
      <c r="B11" s="882"/>
      <c r="C11" s="889" t="s">
        <v>548</v>
      </c>
      <c r="D11" s="890" t="s">
        <v>549</v>
      </c>
      <c r="E11" s="891"/>
      <c r="F11" s="892"/>
      <c r="G11" s="893">
        <v>270558581</v>
      </c>
    </row>
    <row r="12" spans="1:7" ht="15.75" thickBot="1">
      <c r="A12" s="882"/>
      <c r="B12" s="882"/>
      <c r="C12" s="889"/>
      <c r="D12" s="894"/>
      <c r="E12" s="895"/>
      <c r="F12" s="896"/>
      <c r="G12" s="896"/>
    </row>
    <row r="13" spans="1:7" ht="15">
      <c r="A13" s="882"/>
      <c r="B13" s="882"/>
      <c r="C13" s="897" t="s">
        <v>688</v>
      </c>
      <c r="D13" s="887"/>
      <c r="E13" s="898"/>
      <c r="F13" s="883"/>
      <c r="G13" s="883"/>
    </row>
    <row r="14" spans="1:7" ht="14.25">
      <c r="A14" s="882"/>
      <c r="B14" s="882"/>
      <c r="C14" s="899"/>
      <c r="D14" s="890"/>
      <c r="E14" s="898"/>
      <c r="F14" s="883"/>
      <c r="G14" s="883"/>
    </row>
    <row r="15" spans="1:7" ht="14.25">
      <c r="A15" s="882"/>
      <c r="B15" s="882"/>
      <c r="C15" s="900" t="s">
        <v>690</v>
      </c>
      <c r="D15" s="890"/>
      <c r="E15" s="898"/>
      <c r="F15" s="883"/>
      <c r="G15" s="883"/>
    </row>
    <row r="16" spans="1:7" ht="14.25">
      <c r="A16" s="882"/>
      <c r="B16" s="882"/>
      <c r="C16" s="900" t="s">
        <v>691</v>
      </c>
      <c r="D16" s="890"/>
      <c r="E16" s="898"/>
      <c r="F16" s="883"/>
      <c r="G16" s="883"/>
    </row>
    <row r="17" spans="1:7" ht="14.25">
      <c r="A17" s="882"/>
      <c r="B17" s="882"/>
      <c r="C17" s="899" t="s">
        <v>692</v>
      </c>
      <c r="D17" s="890" t="s">
        <v>693</v>
      </c>
      <c r="E17" s="891"/>
      <c r="F17" s="892"/>
      <c r="G17" s="893">
        <v>0</v>
      </c>
    </row>
    <row r="18" spans="1:7" ht="14.25">
      <c r="A18" s="882"/>
      <c r="B18" s="882"/>
      <c r="C18" s="899" t="s">
        <v>694</v>
      </c>
      <c r="D18" s="890" t="s">
        <v>693</v>
      </c>
      <c r="E18" s="891"/>
      <c r="F18" s="892"/>
      <c r="G18" s="893">
        <v>20</v>
      </c>
    </row>
    <row r="19" spans="1:7" ht="14.25">
      <c r="A19" s="882"/>
      <c r="B19" s="882"/>
      <c r="C19" s="899" t="s">
        <v>695</v>
      </c>
      <c r="D19" s="890" t="s">
        <v>693</v>
      </c>
      <c r="E19" s="891"/>
      <c r="F19" s="892"/>
      <c r="G19" s="893">
        <v>20219</v>
      </c>
    </row>
    <row r="20" spans="1:7" ht="14.25">
      <c r="A20" s="882"/>
      <c r="B20" s="882"/>
      <c r="C20" s="899" t="s">
        <v>696</v>
      </c>
      <c r="D20" s="890" t="s">
        <v>693</v>
      </c>
      <c r="E20" s="891"/>
      <c r="F20" s="892"/>
      <c r="G20" s="893">
        <v>9</v>
      </c>
    </row>
    <row r="21" spans="1:7" ht="14.25">
      <c r="A21" s="882"/>
      <c r="B21" s="882"/>
      <c r="C21" s="899"/>
      <c r="D21" s="890"/>
      <c r="E21" s="898"/>
      <c r="F21" s="883"/>
      <c r="G21" s="883"/>
    </row>
    <row r="22" spans="1:7" ht="14.25">
      <c r="A22" s="882"/>
      <c r="B22" s="882"/>
      <c r="C22" s="900" t="s">
        <v>697</v>
      </c>
      <c r="D22" s="890"/>
      <c r="E22" s="898"/>
      <c r="F22" s="883"/>
      <c r="G22" s="883"/>
    </row>
    <row r="23" spans="1:7" ht="14.25">
      <c r="A23" s="882"/>
      <c r="B23" s="882"/>
      <c r="C23" s="899" t="s">
        <v>813</v>
      </c>
      <c r="D23" s="890" t="s">
        <v>814</v>
      </c>
      <c r="E23" s="891"/>
      <c r="F23" s="892"/>
      <c r="G23" s="893">
        <v>0</v>
      </c>
    </row>
    <row r="24" spans="1:7" ht="14.25">
      <c r="A24" s="882"/>
      <c r="B24" s="882"/>
      <c r="C24" s="899" t="s">
        <v>815</v>
      </c>
      <c r="D24" s="890" t="s">
        <v>814</v>
      </c>
      <c r="E24" s="891"/>
      <c r="F24" s="892"/>
      <c r="G24" s="893">
        <v>65</v>
      </c>
    </row>
    <row r="25" spans="1:7" ht="14.25">
      <c r="A25" s="882"/>
      <c r="B25" s="882"/>
      <c r="C25" s="899" t="s">
        <v>694</v>
      </c>
      <c r="D25" s="890" t="s">
        <v>814</v>
      </c>
      <c r="E25" s="891"/>
      <c r="F25" s="892"/>
      <c r="G25" s="893">
        <v>95.1</v>
      </c>
    </row>
    <row r="26" spans="1:7" ht="15" thickBot="1">
      <c r="A26" s="882"/>
      <c r="B26" s="882"/>
      <c r="C26" s="899" t="s">
        <v>695</v>
      </c>
      <c r="D26" s="890" t="s">
        <v>814</v>
      </c>
      <c r="E26" s="891"/>
      <c r="F26" s="892"/>
      <c r="G26" s="893">
        <v>2.9</v>
      </c>
    </row>
    <row r="27" spans="1:7" ht="15" thickBot="1">
      <c r="A27" s="882"/>
      <c r="B27" s="882"/>
      <c r="C27" s="900" t="s">
        <v>816</v>
      </c>
      <c r="D27" s="890"/>
      <c r="E27" s="901"/>
      <c r="F27" s="901"/>
      <c r="G27" s="901">
        <v>163</v>
      </c>
    </row>
    <row r="28" spans="1:7" ht="14.25">
      <c r="A28" s="882"/>
      <c r="B28" s="882"/>
      <c r="C28" s="899"/>
      <c r="D28" s="890"/>
      <c r="E28" s="69"/>
      <c r="F28" s="69"/>
      <c r="G28" s="69"/>
    </row>
    <row r="29" spans="1:7" ht="14.25">
      <c r="A29" s="882"/>
      <c r="B29" s="882"/>
      <c r="C29" s="900" t="s">
        <v>817</v>
      </c>
      <c r="D29" s="890"/>
      <c r="E29" s="69"/>
      <c r="F29" s="69"/>
      <c r="G29" s="69"/>
    </row>
    <row r="30" spans="1:7" ht="14.25">
      <c r="A30" s="882"/>
      <c r="B30" s="882"/>
      <c r="C30" s="899" t="s">
        <v>663</v>
      </c>
      <c r="D30" s="890" t="s">
        <v>814</v>
      </c>
      <c r="E30" s="891"/>
      <c r="F30" s="892"/>
      <c r="G30" s="893">
        <v>5215</v>
      </c>
    </row>
    <row r="31" spans="1:7" ht="14.25">
      <c r="A31" s="882"/>
      <c r="B31" s="882"/>
      <c r="C31" s="899" t="s">
        <v>664</v>
      </c>
      <c r="D31" s="890" t="s">
        <v>814</v>
      </c>
      <c r="E31" s="891"/>
      <c r="F31" s="892"/>
      <c r="G31" s="893">
        <v>4974</v>
      </c>
    </row>
    <row r="32" spans="1:7" ht="14.25">
      <c r="A32" s="882"/>
      <c r="B32" s="882"/>
      <c r="C32" s="899"/>
      <c r="D32" s="890"/>
      <c r="E32" s="69"/>
      <c r="F32" s="69"/>
      <c r="G32" s="69"/>
    </row>
    <row r="33" spans="1:7" ht="14.25">
      <c r="A33" s="882"/>
      <c r="B33" s="882"/>
      <c r="C33" s="900" t="s">
        <v>551</v>
      </c>
      <c r="D33" s="890"/>
      <c r="E33" s="69"/>
      <c r="F33" s="69"/>
      <c r="G33" s="69"/>
    </row>
    <row r="34" spans="1:7" ht="14.25">
      <c r="A34" s="882"/>
      <c r="B34" s="882"/>
      <c r="C34" s="899" t="s">
        <v>692</v>
      </c>
      <c r="D34" s="890" t="s">
        <v>552</v>
      </c>
      <c r="E34" s="891"/>
      <c r="F34" s="892"/>
      <c r="G34" s="893">
        <v>616</v>
      </c>
    </row>
    <row r="35" spans="1:7" ht="14.25">
      <c r="A35" s="882"/>
      <c r="B35" s="882"/>
      <c r="C35" s="899" t="s">
        <v>694</v>
      </c>
      <c r="D35" s="890" t="s">
        <v>552</v>
      </c>
      <c r="E35" s="891"/>
      <c r="F35" s="892"/>
      <c r="G35" s="893">
        <v>9051</v>
      </c>
    </row>
    <row r="36" spans="1:7" ht="15" thickBot="1">
      <c r="A36" s="882"/>
      <c r="B36" s="882"/>
      <c r="C36" s="899" t="s">
        <v>695</v>
      </c>
      <c r="D36" s="890" t="s">
        <v>552</v>
      </c>
      <c r="E36" s="891"/>
      <c r="F36" s="892"/>
      <c r="G36" s="893">
        <v>17084</v>
      </c>
    </row>
    <row r="37" spans="1:7" ht="15" thickBot="1">
      <c r="A37" s="882"/>
      <c r="B37" s="882"/>
      <c r="C37" s="900" t="s">
        <v>816</v>
      </c>
      <c r="D37" s="890"/>
      <c r="E37" s="901"/>
      <c r="F37" s="901"/>
      <c r="G37" s="901">
        <v>26751</v>
      </c>
    </row>
    <row r="38" spans="1:7" ht="14.25">
      <c r="A38" s="882"/>
      <c r="B38" s="882"/>
      <c r="C38" s="899"/>
      <c r="D38" s="890"/>
      <c r="E38" s="898"/>
      <c r="F38" s="883"/>
      <c r="G38" s="883"/>
    </row>
    <row r="39" spans="1:7" ht="14.25">
      <c r="A39" s="882"/>
      <c r="B39" s="882"/>
      <c r="C39" s="900" t="s">
        <v>553</v>
      </c>
      <c r="D39" s="890"/>
      <c r="E39" s="898"/>
      <c r="F39" s="883"/>
      <c r="G39" s="883"/>
    </row>
    <row r="40" spans="1:7" ht="14.25">
      <c r="A40" s="882"/>
      <c r="B40" s="882"/>
      <c r="C40" s="899" t="s">
        <v>698</v>
      </c>
      <c r="D40" s="890" t="s">
        <v>699</v>
      </c>
      <c r="E40" s="891"/>
      <c r="F40" s="892"/>
      <c r="G40" s="893">
        <v>1381</v>
      </c>
    </row>
    <row r="41" spans="1:7" ht="14.25">
      <c r="A41" s="882"/>
      <c r="B41" s="882"/>
      <c r="C41" s="899" t="s">
        <v>700</v>
      </c>
      <c r="D41" s="890" t="s">
        <v>701</v>
      </c>
      <c r="E41" s="891"/>
      <c r="F41" s="892"/>
      <c r="G41" s="902">
        <v>0.05162423834623005</v>
      </c>
    </row>
    <row r="42" spans="1:7" ht="14.25">
      <c r="A42" s="882"/>
      <c r="B42" s="882"/>
      <c r="C42" s="899"/>
      <c r="D42" s="890"/>
      <c r="E42" s="69"/>
      <c r="F42" s="69"/>
      <c r="G42" s="69"/>
    </row>
    <row r="43" spans="1:7" ht="15.75" thickBot="1">
      <c r="A43" s="882"/>
      <c r="B43" s="882"/>
      <c r="C43" s="889"/>
      <c r="D43" s="894"/>
      <c r="E43" s="895"/>
      <c r="F43" s="896"/>
      <c r="G43" s="896"/>
    </row>
    <row r="44" spans="1:7" ht="15">
      <c r="A44" s="882"/>
      <c r="B44" s="882"/>
      <c r="C44" s="897" t="s">
        <v>702</v>
      </c>
      <c r="D44" s="890"/>
      <c r="E44" s="69"/>
      <c r="F44" s="69"/>
      <c r="G44" s="69"/>
    </row>
    <row r="45" spans="1:7" ht="14.25">
      <c r="A45" s="882"/>
      <c r="B45" s="882"/>
      <c r="C45" s="899"/>
      <c r="D45" s="890"/>
      <c r="E45" s="69"/>
      <c r="F45" s="69"/>
      <c r="G45" s="69"/>
    </row>
    <row r="46" spans="1:7" ht="14.25">
      <c r="A46" s="882"/>
      <c r="B46" s="882"/>
      <c r="C46" s="900" t="s">
        <v>566</v>
      </c>
      <c r="D46" s="890"/>
      <c r="E46" s="69"/>
      <c r="F46" s="69"/>
      <c r="G46" s="69"/>
    </row>
    <row r="47" spans="1:7" ht="14.25">
      <c r="A47" s="882"/>
      <c r="B47" s="882"/>
      <c r="C47" s="899" t="s">
        <v>813</v>
      </c>
      <c r="D47" s="890" t="s">
        <v>567</v>
      </c>
      <c r="E47" s="891"/>
      <c r="F47" s="892"/>
      <c r="G47" s="903">
        <v>1368</v>
      </c>
    </row>
    <row r="48" spans="1:7" ht="14.25">
      <c r="A48" s="882"/>
      <c r="B48" s="882"/>
      <c r="C48" s="899" t="s">
        <v>815</v>
      </c>
      <c r="D48" s="890" t="s">
        <v>567</v>
      </c>
      <c r="E48" s="891"/>
      <c r="F48" s="892"/>
      <c r="G48" s="903">
        <v>1830</v>
      </c>
    </row>
    <row r="49" spans="1:7" ht="14.25">
      <c r="A49" s="882"/>
      <c r="B49" s="882"/>
      <c r="C49" s="899" t="s">
        <v>694</v>
      </c>
      <c r="D49" s="890" t="s">
        <v>567</v>
      </c>
      <c r="E49" s="891"/>
      <c r="F49" s="892"/>
      <c r="G49" s="903">
        <v>14538</v>
      </c>
    </row>
    <row r="50" spans="1:7" ht="15" thickBot="1">
      <c r="A50" s="882"/>
      <c r="B50" s="882"/>
      <c r="C50" s="899" t="s">
        <v>695</v>
      </c>
      <c r="D50" s="890" t="s">
        <v>567</v>
      </c>
      <c r="E50" s="891"/>
      <c r="F50" s="892"/>
      <c r="G50" s="903">
        <v>6120</v>
      </c>
    </row>
    <row r="51" spans="1:7" ht="15" thickBot="1">
      <c r="A51" s="882"/>
      <c r="B51" s="882"/>
      <c r="C51" s="900" t="s">
        <v>816</v>
      </c>
      <c r="D51" s="890" t="s">
        <v>567</v>
      </c>
      <c r="E51" s="901"/>
      <c r="F51" s="901"/>
      <c r="G51" s="901">
        <v>23856</v>
      </c>
    </row>
    <row r="52" spans="1:7" ht="14.25">
      <c r="A52" s="882"/>
      <c r="B52" s="882"/>
      <c r="C52" s="899"/>
      <c r="D52" s="890"/>
      <c r="E52" s="69"/>
      <c r="F52" s="69"/>
      <c r="G52" s="69"/>
    </row>
    <row r="53" spans="1:7" ht="14.25">
      <c r="A53" s="882"/>
      <c r="B53" s="882"/>
      <c r="C53" s="900" t="s">
        <v>837</v>
      </c>
      <c r="D53" s="890"/>
      <c r="E53" s="69"/>
      <c r="F53" s="69"/>
      <c r="G53" s="69"/>
    </row>
    <row r="54" spans="1:7" ht="14.25">
      <c r="A54" s="882"/>
      <c r="B54" s="882"/>
      <c r="C54" s="899" t="s">
        <v>813</v>
      </c>
      <c r="D54" s="890" t="s">
        <v>567</v>
      </c>
      <c r="E54" s="891"/>
      <c r="F54" s="892"/>
      <c r="G54" s="903">
        <v>303</v>
      </c>
    </row>
    <row r="55" spans="1:7" ht="14.25">
      <c r="A55" s="882"/>
      <c r="B55" s="882"/>
      <c r="C55" s="899" t="s">
        <v>815</v>
      </c>
      <c r="D55" s="890" t="s">
        <v>567</v>
      </c>
      <c r="E55" s="891"/>
      <c r="F55" s="892"/>
      <c r="G55" s="903">
        <v>380</v>
      </c>
    </row>
    <row r="56" spans="1:7" ht="14.25">
      <c r="A56" s="882"/>
      <c r="B56" s="882"/>
      <c r="C56" s="899" t="s">
        <v>694</v>
      </c>
      <c r="D56" s="890" t="s">
        <v>567</v>
      </c>
      <c r="E56" s="891"/>
      <c r="F56" s="892"/>
      <c r="G56" s="903">
        <v>12085</v>
      </c>
    </row>
    <row r="57" spans="1:7" ht="15" thickBot="1">
      <c r="A57" s="882"/>
      <c r="B57" s="882"/>
      <c r="C57" s="899" t="s">
        <v>695</v>
      </c>
      <c r="D57" s="890" t="s">
        <v>567</v>
      </c>
      <c r="E57" s="891"/>
      <c r="F57" s="892"/>
      <c r="G57" s="903">
        <v>25340</v>
      </c>
    </row>
    <row r="58" spans="1:7" ht="15" thickBot="1">
      <c r="A58" s="882"/>
      <c r="B58" s="882"/>
      <c r="C58" s="899" t="s">
        <v>816</v>
      </c>
      <c r="D58" s="890" t="s">
        <v>567</v>
      </c>
      <c r="E58" s="901"/>
      <c r="F58" s="901"/>
      <c r="G58" s="901">
        <v>38108</v>
      </c>
    </row>
    <row r="59" spans="1:7" ht="14.25">
      <c r="A59" s="882"/>
      <c r="B59" s="882"/>
      <c r="C59" s="899"/>
      <c r="D59" s="890"/>
      <c r="E59" s="69"/>
      <c r="F59" s="69"/>
      <c r="G59" s="69"/>
    </row>
    <row r="60" spans="1:7" ht="14.25">
      <c r="A60" s="882"/>
      <c r="B60" s="882"/>
      <c r="C60" s="900" t="s">
        <v>838</v>
      </c>
      <c r="D60" s="890"/>
      <c r="E60" s="69"/>
      <c r="F60" s="69"/>
      <c r="G60" s="69"/>
    </row>
    <row r="61" spans="1:7" ht="14.25">
      <c r="A61" s="882"/>
      <c r="B61" s="882"/>
      <c r="C61" s="899" t="s">
        <v>813</v>
      </c>
      <c r="D61" s="890" t="s">
        <v>567</v>
      </c>
      <c r="E61" s="903"/>
      <c r="F61" s="903"/>
      <c r="G61" s="903">
        <v>1671</v>
      </c>
    </row>
    <row r="62" spans="1:7" ht="14.25">
      <c r="A62" s="882"/>
      <c r="B62" s="882"/>
      <c r="C62" s="899" t="s">
        <v>815</v>
      </c>
      <c r="D62" s="890" t="s">
        <v>567</v>
      </c>
      <c r="E62" s="903"/>
      <c r="F62" s="903"/>
      <c r="G62" s="903">
        <v>2210</v>
      </c>
    </row>
    <row r="63" spans="1:7" ht="14.25">
      <c r="A63" s="882"/>
      <c r="B63" s="882"/>
      <c r="C63" s="899" t="s">
        <v>694</v>
      </c>
      <c r="D63" s="890" t="s">
        <v>567</v>
      </c>
      <c r="E63" s="903"/>
      <c r="F63" s="903"/>
      <c r="G63" s="903">
        <v>26623</v>
      </c>
    </row>
    <row r="64" spans="1:7" ht="15" thickBot="1">
      <c r="A64" s="882"/>
      <c r="B64" s="882"/>
      <c r="C64" s="899" t="s">
        <v>695</v>
      </c>
      <c r="D64" s="890" t="s">
        <v>567</v>
      </c>
      <c r="E64" s="903"/>
      <c r="F64" s="903"/>
      <c r="G64" s="903">
        <v>31460</v>
      </c>
    </row>
    <row r="65" spans="1:7" ht="15" thickBot="1">
      <c r="A65" s="882"/>
      <c r="B65" s="882"/>
      <c r="C65" s="900" t="s">
        <v>816</v>
      </c>
      <c r="D65" s="890" t="s">
        <v>567</v>
      </c>
      <c r="E65" s="901"/>
      <c r="F65" s="901"/>
      <c r="G65" s="901">
        <v>61964</v>
      </c>
    </row>
    <row r="66" spans="1:7" ht="14.25">
      <c r="A66" s="882"/>
      <c r="B66" s="882"/>
      <c r="C66" s="899"/>
      <c r="D66" s="890"/>
      <c r="E66" s="69"/>
      <c r="F66" s="69"/>
      <c r="G66" s="69"/>
    </row>
    <row r="67" spans="1:7" ht="14.25">
      <c r="A67" s="882"/>
      <c r="B67" s="882"/>
      <c r="C67" s="900" t="s">
        <v>839</v>
      </c>
      <c r="D67" s="890"/>
      <c r="E67" s="69"/>
      <c r="F67" s="69"/>
      <c r="G67" s="69"/>
    </row>
    <row r="68" spans="1:7" ht="14.25">
      <c r="A68" s="882"/>
      <c r="B68" s="882"/>
      <c r="C68" s="899" t="s">
        <v>813</v>
      </c>
      <c r="D68" s="890" t="s">
        <v>840</v>
      </c>
      <c r="E68" s="891"/>
      <c r="F68" s="892"/>
      <c r="G68" s="893">
        <v>84</v>
      </c>
    </row>
    <row r="69" spans="1:7" ht="14.25">
      <c r="A69" s="882"/>
      <c r="B69" s="882"/>
      <c r="C69" s="899" t="s">
        <v>732</v>
      </c>
      <c r="D69" s="890" t="s">
        <v>840</v>
      </c>
      <c r="E69" s="891"/>
      <c r="F69" s="892"/>
      <c r="G69" s="893">
        <v>138</v>
      </c>
    </row>
    <row r="70" spans="1:7" ht="14.25">
      <c r="A70" s="882"/>
      <c r="B70" s="882"/>
      <c r="C70" s="899" t="s">
        <v>733</v>
      </c>
      <c r="D70" s="890" t="s">
        <v>840</v>
      </c>
      <c r="E70" s="891"/>
      <c r="F70" s="892"/>
      <c r="G70" s="893">
        <v>3</v>
      </c>
    </row>
    <row r="71" spans="1:7" ht="14.25">
      <c r="A71" s="882"/>
      <c r="B71" s="882"/>
      <c r="C71" s="899" t="s">
        <v>601</v>
      </c>
      <c r="D71" s="890" t="s">
        <v>840</v>
      </c>
      <c r="E71" s="891"/>
      <c r="F71" s="892"/>
      <c r="G71" s="893">
        <v>16210</v>
      </c>
    </row>
    <row r="72" spans="1:7" ht="15" thickBot="1">
      <c r="A72" s="882"/>
      <c r="B72" s="882"/>
      <c r="C72" s="899" t="s">
        <v>602</v>
      </c>
      <c r="D72" s="890" t="s">
        <v>840</v>
      </c>
      <c r="E72" s="891"/>
      <c r="F72" s="892"/>
      <c r="G72" s="893">
        <v>34355</v>
      </c>
    </row>
    <row r="73" spans="1:7" ht="15" thickBot="1">
      <c r="A73" s="882"/>
      <c r="B73" s="882"/>
      <c r="C73" s="900" t="s">
        <v>816</v>
      </c>
      <c r="D73" s="890" t="s">
        <v>840</v>
      </c>
      <c r="E73" s="901"/>
      <c r="F73" s="901"/>
      <c r="G73" s="901">
        <v>50790</v>
      </c>
    </row>
    <row r="74" spans="1:7" ht="15.75" thickBot="1">
      <c r="A74" s="882"/>
      <c r="B74" s="882"/>
      <c r="C74" s="895"/>
      <c r="D74" s="894"/>
      <c r="E74" s="895"/>
      <c r="F74" s="896"/>
      <c r="G74" s="896"/>
    </row>
    <row r="75" spans="1:7" ht="14.25">
      <c r="A75" s="395"/>
      <c r="B75" s="395"/>
      <c r="C75" s="395"/>
      <c r="D75" s="395"/>
      <c r="E75" s="395"/>
      <c r="F75" s="395"/>
      <c r="G75" s="395"/>
    </row>
    <row r="76" spans="1:7" ht="14.25">
      <c r="A76" s="882"/>
      <c r="B76" s="882"/>
      <c r="C76" s="395"/>
      <c r="D76" s="395"/>
      <c r="E76" s="395"/>
      <c r="F76" s="395"/>
      <c r="G76" s="395"/>
    </row>
    <row r="77" spans="1:7" ht="14.25">
      <c r="A77" s="882"/>
      <c r="B77" s="882"/>
      <c r="C77" s="395"/>
      <c r="D77" s="395"/>
      <c r="E77" s="395"/>
      <c r="F77" s="395"/>
      <c r="G77" s="395"/>
    </row>
    <row r="78" spans="1:7" ht="14.25">
      <c r="A78" s="882"/>
      <c r="B78" s="882"/>
      <c r="C78" s="395"/>
      <c r="D78" s="395"/>
      <c r="E78" s="395"/>
      <c r="F78" s="395"/>
      <c r="G78" s="395"/>
    </row>
    <row r="79" spans="1:7" ht="14.25">
      <c r="A79" s="882"/>
      <c r="B79" s="882"/>
      <c r="C79" s="395"/>
      <c r="D79" s="395"/>
      <c r="E79" s="395"/>
      <c r="F79" s="395"/>
      <c r="G79" s="395"/>
    </row>
    <row r="80" spans="1:7" ht="14.25">
      <c r="A80" s="882"/>
      <c r="B80" s="882"/>
      <c r="C80" s="395"/>
      <c r="D80" s="395"/>
      <c r="E80" s="395"/>
      <c r="F80" s="395"/>
      <c r="G80" s="395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PageLayoutView="0" workbookViewId="0" topLeftCell="A1">
      <selection activeCell="L36" sqref="L36"/>
    </sheetView>
  </sheetViews>
  <sheetFormatPr defaultColWidth="8.8515625" defaultRowHeight="12.75"/>
  <cols>
    <col min="1" max="2" width="9.421875" style="1311" customWidth="1"/>
    <col min="3" max="3" width="58.00390625" style="1311" bestFit="1" customWidth="1"/>
    <col min="4" max="4" width="14.8515625" style="1311" bestFit="1" customWidth="1"/>
    <col min="5" max="6" width="7.7109375" style="1311" bestFit="1" customWidth="1"/>
    <col min="7" max="7" width="7.7109375" style="1311" customWidth="1"/>
    <col min="8" max="8" width="6.421875" style="1311" bestFit="1" customWidth="1"/>
    <col min="9" max="9" width="11.8515625" style="1311" customWidth="1"/>
    <col min="10" max="10" width="11.8515625" style="116" customWidth="1"/>
    <col min="11" max="11" width="7.7109375" style="1311" customWidth="1"/>
    <col min="12" max="12" width="20.421875" style="1311" bestFit="1" customWidth="1"/>
    <col min="13" max="13" width="11.421875" style="1311" customWidth="1"/>
    <col min="14" max="14" width="18.8515625" style="1311" customWidth="1"/>
    <col min="15" max="15" width="7.421875" style="1311" customWidth="1"/>
    <col min="16" max="16" width="8.00390625" style="1311" bestFit="1" customWidth="1"/>
    <col min="17" max="18" width="8.00390625" style="1311" customWidth="1"/>
    <col min="19" max="19" width="17.8515625" style="1311" customWidth="1"/>
    <col min="20" max="20" width="7.7109375" style="1311" bestFit="1" customWidth="1"/>
    <col min="21" max="21" width="7.7109375" style="1311" customWidth="1"/>
    <col min="22" max="23" width="18.140625" style="1311" customWidth="1"/>
    <col min="24" max="24" width="24.28125" style="1311" customWidth="1"/>
    <col min="25" max="25" width="13.140625" style="1311" customWidth="1"/>
    <col min="26" max="26" width="10.28125" style="1311" customWidth="1"/>
    <col min="27" max="27" width="7.28125" style="1311" customWidth="1"/>
    <col min="28" max="28" width="8.7109375" style="1311" customWidth="1"/>
    <col min="29" max="29" width="6.8515625" style="1311" customWidth="1"/>
    <col min="30" max="30" width="27.00390625" style="1311" customWidth="1"/>
    <col min="31" max="34" width="13.7109375" style="1311" customWidth="1"/>
    <col min="35" max="35" width="15.00390625" style="1311" customWidth="1"/>
    <col min="36" max="36" width="16.421875" style="1311" customWidth="1"/>
    <col min="37" max="37" width="26.7109375" style="1311" customWidth="1"/>
    <col min="38" max="38" width="7.7109375" style="1311" bestFit="1" customWidth="1"/>
    <col min="39" max="39" width="7.7109375" style="1311" customWidth="1"/>
    <col min="40" max="40" width="23.7109375" style="1311" customWidth="1"/>
    <col min="41" max="41" width="12.140625" style="1311" customWidth="1"/>
    <col min="42" max="42" width="10.8515625" style="1311" customWidth="1"/>
    <col min="43" max="43" width="13.421875" style="1311" customWidth="1"/>
    <col min="44" max="45" width="9.421875" style="1311" customWidth="1"/>
    <col min="46" max="46" width="23.421875" style="1311" customWidth="1"/>
    <col min="47" max="47" width="6.8515625" style="1311" bestFit="1" customWidth="1"/>
    <col min="48" max="49" width="7.28125" style="1311" customWidth="1"/>
    <col min="50" max="50" width="23.421875" style="1311" bestFit="1" customWidth="1"/>
    <col min="51" max="51" width="4.28125" style="1311" customWidth="1"/>
    <col min="52" max="52" width="22.7109375" style="1311" bestFit="1" customWidth="1"/>
    <col min="53" max="53" width="24.140625" style="1311" customWidth="1"/>
    <col min="54" max="16384" width="8.8515625" style="1311" customWidth="1"/>
  </cols>
  <sheetData>
    <row r="1" ht="12.75">
      <c r="A1" s="911" t="s">
        <v>795</v>
      </c>
    </row>
    <row r="2" spans="4:44" s="1312" customFormat="1" ht="63.75" customHeight="1" thickBot="1">
      <c r="D2" s="1410" t="s">
        <v>145</v>
      </c>
      <c r="E2" s="1410"/>
      <c r="F2" s="1410"/>
      <c r="G2" s="1410"/>
      <c r="H2" s="1410"/>
      <c r="I2" s="1410"/>
      <c r="J2" s="267"/>
      <c r="L2" s="1410" t="s">
        <v>67</v>
      </c>
      <c r="M2" s="1410"/>
      <c r="N2" s="1410"/>
      <c r="O2" s="1410"/>
      <c r="P2" s="1410"/>
      <c r="S2" s="1410" t="s">
        <v>110</v>
      </c>
      <c r="T2" s="1410"/>
      <c r="U2" s="1410"/>
      <c r="V2" s="1410"/>
      <c r="Y2" s="1410" t="s">
        <v>111</v>
      </c>
      <c r="Z2" s="1410"/>
      <c r="AA2" s="1410"/>
      <c r="AB2" s="1410"/>
      <c r="AE2" s="1410" t="s">
        <v>290</v>
      </c>
      <c r="AF2" s="1410"/>
      <c r="AG2" s="1410"/>
      <c r="AH2" s="1410"/>
      <c r="AJ2" s="1410" t="s">
        <v>68</v>
      </c>
      <c r="AK2" s="1410"/>
      <c r="AL2" s="1410"/>
      <c r="AM2" s="1410"/>
      <c r="AN2" s="1410"/>
      <c r="AO2" s="1410"/>
      <c r="AP2" s="1410"/>
      <c r="AQ2" s="1410"/>
      <c r="AR2" s="1410"/>
    </row>
    <row r="3" spans="1:53" s="69" customFormat="1" ht="24" customHeight="1">
      <c r="A3" s="64"/>
      <c r="B3" s="65"/>
      <c r="C3" s="65"/>
      <c r="D3" s="132"/>
      <c r="E3" s="1421" t="s">
        <v>354</v>
      </c>
      <c r="F3" s="1422"/>
      <c r="G3" s="1422"/>
      <c r="H3" s="1422"/>
      <c r="I3" s="1423"/>
      <c r="J3" s="109"/>
      <c r="K3" s="66"/>
      <c r="L3" s="1424" t="s">
        <v>174</v>
      </c>
      <c r="M3" s="1425"/>
      <c r="N3" s="1425"/>
      <c r="O3" s="1425"/>
      <c r="P3" s="1426"/>
      <c r="Q3" s="67"/>
      <c r="R3" s="67"/>
      <c r="S3" s="1424" t="s">
        <v>451</v>
      </c>
      <c r="T3" s="1425"/>
      <c r="U3" s="1425"/>
      <c r="V3" s="1426"/>
      <c r="W3" s="126"/>
      <c r="X3" s="65"/>
      <c r="Y3" s="1434" t="s">
        <v>355</v>
      </c>
      <c r="Z3" s="1419"/>
      <c r="AA3" s="1419"/>
      <c r="AB3" s="1420"/>
      <c r="AC3" s="68"/>
      <c r="AD3" s="126"/>
      <c r="AE3" s="1432" t="s">
        <v>637</v>
      </c>
      <c r="AF3" s="1433"/>
      <c r="AG3" s="1433"/>
      <c r="AH3" s="1433"/>
      <c r="AI3" s="156"/>
      <c r="AJ3" s="1417" t="s">
        <v>165</v>
      </c>
      <c r="AK3" s="1415"/>
      <c r="AL3" s="1416"/>
      <c r="AM3" s="67"/>
      <c r="AN3" s="67"/>
      <c r="AO3" s="1418" t="s">
        <v>495</v>
      </c>
      <c r="AP3" s="1419"/>
      <c r="AQ3" s="1419"/>
      <c r="AR3" s="1420"/>
      <c r="AS3" s="160"/>
      <c r="AT3" s="68"/>
      <c r="AU3" s="1414" t="s">
        <v>89</v>
      </c>
      <c r="AV3" s="1415"/>
      <c r="AW3" s="1415"/>
      <c r="AX3" s="1416"/>
      <c r="AZ3" s="70"/>
      <c r="BA3" s="70"/>
    </row>
    <row r="4" spans="1:53" s="100" customFormat="1" ht="63.75" customHeight="1">
      <c r="A4" s="94"/>
      <c r="B4" s="95"/>
      <c r="C4" s="95"/>
      <c r="D4" s="98" t="s">
        <v>88</v>
      </c>
      <c r="E4" s="1412" t="s">
        <v>61</v>
      </c>
      <c r="F4" s="1413"/>
      <c r="G4" s="1413"/>
      <c r="H4" s="1413"/>
      <c r="I4" s="99" t="s">
        <v>60</v>
      </c>
      <c r="J4" s="110"/>
      <c r="K4" s="95"/>
      <c r="L4" s="119" t="s">
        <v>183</v>
      </c>
      <c r="M4" s="1428" t="s">
        <v>175</v>
      </c>
      <c r="N4" s="1429"/>
      <c r="O4" s="1429"/>
      <c r="P4" s="1430"/>
      <c r="Q4" s="72"/>
      <c r="R4" s="96"/>
      <c r="S4" s="136"/>
      <c r="T4" s="137"/>
      <c r="U4" s="137"/>
      <c r="V4" s="138"/>
      <c r="W4" s="95"/>
      <c r="X4" s="96"/>
      <c r="Y4" s="136"/>
      <c r="Z4" s="137"/>
      <c r="AA4" s="137"/>
      <c r="AB4" s="138"/>
      <c r="AC4" s="96"/>
      <c r="AD4" s="96"/>
      <c r="AE4" s="136"/>
      <c r="AF4" s="137"/>
      <c r="AG4" s="137"/>
      <c r="AH4" s="138"/>
      <c r="AI4" s="96"/>
      <c r="AJ4" s="1313" t="s">
        <v>44</v>
      </c>
      <c r="AK4" s="96" t="s">
        <v>152</v>
      </c>
      <c r="AL4" s="97" t="s">
        <v>151</v>
      </c>
      <c r="AM4" s="95"/>
      <c r="AN4" s="95"/>
      <c r="AO4" s="257" t="s">
        <v>815</v>
      </c>
      <c r="AP4" s="234" t="s">
        <v>694</v>
      </c>
      <c r="AQ4" s="234" t="s">
        <v>90</v>
      </c>
      <c r="AR4" s="258" t="s">
        <v>695</v>
      </c>
      <c r="AS4" s="96"/>
      <c r="AT4" s="96"/>
      <c r="AU4" s="257" t="s">
        <v>815</v>
      </c>
      <c r="AV4" s="234" t="s">
        <v>694</v>
      </c>
      <c r="AW4" s="234" t="s">
        <v>90</v>
      </c>
      <c r="AX4" s="258" t="s">
        <v>695</v>
      </c>
      <c r="AZ4" s="252"/>
      <c r="BA4" s="101"/>
    </row>
    <row r="5" spans="1:53" s="100" customFormat="1" ht="15">
      <c r="A5" s="95"/>
      <c r="B5" s="95"/>
      <c r="C5" s="95"/>
      <c r="D5" s="98"/>
      <c r="E5" s="96" t="s">
        <v>815</v>
      </c>
      <c r="F5" s="96" t="s">
        <v>694</v>
      </c>
      <c r="G5" s="96" t="s">
        <v>90</v>
      </c>
      <c r="H5" s="96" t="s">
        <v>695</v>
      </c>
      <c r="I5" s="99"/>
      <c r="J5" s="110"/>
      <c r="K5" s="95"/>
      <c r="L5" s="130"/>
      <c r="M5" s="131" t="s">
        <v>815</v>
      </c>
      <c r="N5" s="130" t="s">
        <v>694</v>
      </c>
      <c r="O5" s="130" t="s">
        <v>90</v>
      </c>
      <c r="P5" s="130" t="s">
        <v>695</v>
      </c>
      <c r="Q5" s="72"/>
      <c r="R5" s="96"/>
      <c r="S5" s="134" t="s">
        <v>815</v>
      </c>
      <c r="T5" s="127" t="s">
        <v>694</v>
      </c>
      <c r="U5" s="127" t="s">
        <v>90</v>
      </c>
      <c r="V5" s="135" t="s">
        <v>695</v>
      </c>
      <c r="W5" s="96"/>
      <c r="X5" s="96"/>
      <c r="Y5" s="228" t="s">
        <v>815</v>
      </c>
      <c r="Z5" s="229" t="s">
        <v>694</v>
      </c>
      <c r="AA5" s="229" t="s">
        <v>90</v>
      </c>
      <c r="AB5" s="230" t="s">
        <v>695</v>
      </c>
      <c r="AC5" s="96"/>
      <c r="AD5" s="96"/>
      <c r="AE5" s="228" t="s">
        <v>815</v>
      </c>
      <c r="AF5" s="229" t="s">
        <v>694</v>
      </c>
      <c r="AG5" s="229" t="s">
        <v>90</v>
      </c>
      <c r="AH5" s="230" t="s">
        <v>695</v>
      </c>
      <c r="AI5" s="96"/>
      <c r="AJ5" s="1314"/>
      <c r="AK5" s="234"/>
      <c r="AL5" s="138"/>
      <c r="AM5" s="95"/>
      <c r="AN5" s="95"/>
      <c r="AO5" s="257"/>
      <c r="AP5" s="234"/>
      <c r="AQ5" s="234"/>
      <c r="AR5" s="258"/>
      <c r="AS5" s="96"/>
      <c r="AT5" s="96"/>
      <c r="AU5" s="257"/>
      <c r="AV5" s="234"/>
      <c r="AW5" s="234"/>
      <c r="AX5" s="258"/>
      <c r="AZ5" s="252"/>
      <c r="BA5" s="101"/>
    </row>
    <row r="6" spans="1:53" s="69" customFormat="1" ht="51" customHeight="1">
      <c r="A6" s="89" t="s">
        <v>57</v>
      </c>
      <c r="B6" s="79" t="s">
        <v>294</v>
      </c>
      <c r="C6" s="105" t="s">
        <v>394</v>
      </c>
      <c r="D6" s="119">
        <f>'RRP 1.3'!D$12</f>
        <v>11.260750888044793</v>
      </c>
      <c r="E6" s="119">
        <f>'RRP 2.4'!L13+'RRP 2.4'!L14+'RRP 2.4'!L18+'RRP 2.4'!L19</f>
        <v>10.20303592994216</v>
      </c>
      <c r="F6" s="119">
        <f>'RRP 2.4'!L12+'RRP 2.4'!L17-'Calc - WPD Opex Allocation'!G6</f>
        <v>11.92</v>
      </c>
      <c r="G6" s="119">
        <v>0</v>
      </c>
      <c r="H6" s="119">
        <f>'RRP 2.4'!L11+'RRP 2.4'!L16+'RRP 2.4'!L24</f>
        <v>-16.479999999999997</v>
      </c>
      <c r="I6" s="119">
        <f aca="true" t="shared" si="0" ref="I6:I39">D6-E6-F6-G6-H6</f>
        <v>5.6177149581026296</v>
      </c>
      <c r="J6" s="117"/>
      <c r="K6" s="72"/>
      <c r="L6" s="119" t="s">
        <v>255</v>
      </c>
      <c r="M6" s="226">
        <f>IF(ISERROR(VLOOKUP($L6,'Calc-Drivers'!$B$17:$F$27,M$42,FALSE))," ",VLOOKUP($L6,'Calc-Drivers'!$B$17:$F$27,M$42,FALSE))</f>
        <v>0.37688402427627665</v>
      </c>
      <c r="N6" s="226">
        <f>IF(ISERROR(VLOOKUP($L6,'Calc-Drivers'!$B$17:$F$27,N$42,FALSE))," ",VLOOKUP($L6,'Calc-Drivers'!$B$17:$F$27,N$42,FALSE))</f>
        <v>0.13148746175802342</v>
      </c>
      <c r="O6" s="226">
        <f>IF(ISERROR(VLOOKUP($L6,'Calc-Drivers'!$B$17:$F$27,O$42,FALSE))," ",VLOOKUP($L6,'Calc-Drivers'!$B$17:$F$27,O$42,FALSE))</f>
        <v>0.03534221933809291</v>
      </c>
      <c r="P6" s="226">
        <f>IF(ISERROR(VLOOKUP($L6,'Calc-Drivers'!$B$17:$F$27,P$42,FALSE))," ",VLOOKUP($L6,'Calc-Drivers'!$B$17:$F$27,P$42,FALSE))</f>
        <v>0.456286294627607</v>
      </c>
      <c r="Q6" s="147"/>
      <c r="R6" s="74"/>
      <c r="S6" s="143">
        <f aca="true" t="shared" si="1" ref="S6:V38">IF(ISERROR($I6*M6)," ",$I6*M6)</f>
        <v>2.117227020646754</v>
      </c>
      <c r="T6" s="143">
        <f t="shared" si="1"/>
        <v>0.7386590807209956</v>
      </c>
      <c r="U6" s="143">
        <f t="shared" si="1"/>
        <v>0.19854251422814856</v>
      </c>
      <c r="V6" s="139">
        <f t="shared" si="1"/>
        <v>2.563286342506731</v>
      </c>
      <c r="W6" s="76"/>
      <c r="X6" s="70"/>
      <c r="Y6" s="75">
        <f aca="true" t="shared" si="2" ref="Y6:AB38">IF($L6="Do not allocate"," ",S6+E6)</f>
        <v>12.320262950588914</v>
      </c>
      <c r="Z6" s="75">
        <f t="shared" si="2"/>
        <v>12.658659080720996</v>
      </c>
      <c r="AA6" s="75">
        <f t="shared" si="2"/>
        <v>0.19854251422814856</v>
      </c>
      <c r="AB6" s="140">
        <f t="shared" si="2"/>
        <v>-13.916713657493265</v>
      </c>
      <c r="AC6" s="76"/>
      <c r="AD6" s="76"/>
      <c r="AE6" s="77">
        <f>IF(ISERROR(Y6*100000000/'Calc-Units'!$E$21)," ",Y6*100000000/'Calc-Units'!$E$21)</f>
        <v>0.04657345229163057</v>
      </c>
      <c r="AF6" s="77">
        <f>IF(ISERROR(Z6*100000000/'Calc-Units'!$D$21)," ",Z6*100000000/'Calc-Units'!$D$21)</f>
        <v>0.04894132570455714</v>
      </c>
      <c r="AG6" s="77">
        <f>IF(ISERROR(AA6*100000000/'Calc-Units'!$C$21)," ",AA6*100000000/'Calc-Units'!$C$21)</f>
        <v>0.0011621547309069807</v>
      </c>
      <c r="AH6" s="231">
        <f>IF(ISERROR(AB6*100000000/'Calc-Units'!$C$21)," ",AB6*100000000/'Calc-Units'!$C$21)</f>
        <v>-0.0814605107556384</v>
      </c>
      <c r="AI6" s="78"/>
      <c r="AJ6" s="71">
        <v>1</v>
      </c>
      <c r="AK6" s="72">
        <f aca="true" t="shared" si="3" ref="AK6:AK38">AJ6*D6</f>
        <v>11.260750888044793</v>
      </c>
      <c r="AL6" s="73">
        <f aca="true" t="shared" si="4" ref="AL6:AL38">D6*(1-AJ6)</f>
        <v>0</v>
      </c>
      <c r="AM6" s="72"/>
      <c r="AN6" s="72"/>
      <c r="AO6" s="75">
        <f>IF(ISERROR(Y6*(1-$AJ6))," ",Y6*(1-$AJ6))</f>
        <v>0</v>
      </c>
      <c r="AP6" s="75">
        <f>IF(ISERROR(Z6*(1-$AJ6))," ",Z6*(1-$AJ6))</f>
        <v>0</v>
      </c>
      <c r="AQ6" s="75">
        <f>IF(ISERROR(AA6*(1-$AJ6))," ",AA6*(1-$AJ6))</f>
        <v>0</v>
      </c>
      <c r="AR6" s="140">
        <f>IF(ISERROR(AB6*(1-$AJ6))," ",AB6*(1-$AJ6))</f>
        <v>0</v>
      </c>
      <c r="AS6" s="76"/>
      <c r="AT6" s="78"/>
      <c r="AU6" s="255">
        <f>IF(ISERROR(AO6*100000000/'Calc-Units'!$E$21)," ",AO6*100000000/'Calc-Units'!$E$21)</f>
        <v>0</v>
      </c>
      <c r="AV6" s="255">
        <f>IF(ISERROR(AP6*100000000/'Calc-Units'!$D$21)," ",AP6*100000000/'Calc-Units'!$D$21)</f>
        <v>0</v>
      </c>
      <c r="AW6" s="255">
        <f>IF(ISERROR(AQ6*100000000/'Calc-Units'!$C$21)," ",AQ6*100000000/'Calc-Units'!$C$21)</f>
        <v>0</v>
      </c>
      <c r="AX6" s="256">
        <f>IF(ISERROR(AR6*100000000/'Calc-Units'!$C$21)," ",AR6*100000000/'Calc-Units'!$C$21)</f>
        <v>0</v>
      </c>
      <c r="AZ6" s="82"/>
      <c r="BA6" s="70"/>
    </row>
    <row r="7" spans="1:53" s="69" customFormat="1" ht="12.75">
      <c r="A7" s="87"/>
      <c r="B7" s="79"/>
      <c r="C7" s="106" t="s">
        <v>233</v>
      </c>
      <c r="D7" s="118">
        <f>'RRP 1.3'!E$12</f>
        <v>86.73865287324719</v>
      </c>
      <c r="E7" s="150">
        <f>SUM('RRP 2.4'!G44:G55)+'RRP 2.4'!G71+'RRP 2.4'!H71</f>
        <v>33.94455897431899</v>
      </c>
      <c r="F7" s="118">
        <f>SUM('RRP 2.4'!G38:G40)+'RRP 2.4'!F71</f>
        <v>25.84796455954431</v>
      </c>
      <c r="G7" s="118">
        <f>'RRP 2.4'!G41+'RRP 2.4'!G42+'RRP 2.4'!G43</f>
        <v>6.928378220339107</v>
      </c>
      <c r="H7" s="118">
        <f>SUM('RRP 2.4'!G31:G37)+'RRP 2.4'!E71</f>
        <v>15.964378159526383</v>
      </c>
      <c r="I7" s="118">
        <f t="shared" si="0"/>
        <v>4.053372959518406</v>
      </c>
      <c r="J7" s="117"/>
      <c r="K7" s="72"/>
      <c r="L7" s="118" t="s">
        <v>255</v>
      </c>
      <c r="M7" s="133">
        <f>IF(ISERROR(VLOOKUP($L7,'Calc-Drivers'!$B$17:$F$27,M$42,FALSE))," ",VLOOKUP($L7,'Calc-Drivers'!$B$17:$F$27,M$42,FALSE))</f>
        <v>0.37688402427627665</v>
      </c>
      <c r="N7" s="133">
        <f>IF(ISERROR(VLOOKUP($L7,'Calc-Drivers'!$B$17:$F$27,N$42,FALSE))," ",VLOOKUP($L7,'Calc-Drivers'!$B$17:$F$27,N$42,FALSE))</f>
        <v>0.13148746175802342</v>
      </c>
      <c r="O7" s="133">
        <f>IF(ISERROR(VLOOKUP($L7,'Calc-Drivers'!$B$17:$F$27,O$42,FALSE))," ",VLOOKUP($L7,'Calc-Drivers'!$B$17:$F$27,O$42,FALSE))</f>
        <v>0.03534221933809291</v>
      </c>
      <c r="P7" s="133">
        <f>IF(ISERROR(VLOOKUP($L7,'Calc-Drivers'!$B$17:$F$27,P$42,FALSE))," ",VLOOKUP($L7,'Calc-Drivers'!$B$17:$F$27,P$42,FALSE))</f>
        <v>0.456286294627607</v>
      </c>
      <c r="Q7" s="147"/>
      <c r="R7" s="74"/>
      <c r="S7" s="75">
        <f t="shared" si="1"/>
        <v>1.527651512875938</v>
      </c>
      <c r="T7" s="75">
        <f t="shared" si="1"/>
        <v>0.5329677220056825</v>
      </c>
      <c r="U7" s="75">
        <f t="shared" si="1"/>
        <v>0.14325519619439428</v>
      </c>
      <c r="V7" s="140">
        <f t="shared" si="1"/>
        <v>1.8494985284423906</v>
      </c>
      <c r="W7" s="76"/>
      <c r="X7" s="70"/>
      <c r="Y7" s="75">
        <f t="shared" si="2"/>
        <v>35.47221048719493</v>
      </c>
      <c r="Z7" s="75">
        <f t="shared" si="2"/>
        <v>26.380932281549992</v>
      </c>
      <c r="AA7" s="75">
        <f t="shared" si="2"/>
        <v>7.071633416533501</v>
      </c>
      <c r="AB7" s="140">
        <f t="shared" si="2"/>
        <v>17.813876687968772</v>
      </c>
      <c r="AC7" s="76"/>
      <c r="AD7" s="76"/>
      <c r="AE7" s="77">
        <f>IF(ISERROR(Y7*100000000/'Calc-Units'!$E$21)," ",Y7*100000000/'Calc-Units'!$E$21)</f>
        <v>0.1340931853021109</v>
      </c>
      <c r="AF7" s="77">
        <f>IF(ISERROR(Z7*100000000/'Calc-Units'!$D$21)," ",Z7*100000000/'Calc-Units'!$D$21)</f>
        <v>0.10199483143894464</v>
      </c>
      <c r="AG7" s="77">
        <f>IF(ISERROR(AA7*100000000/'Calc-Units'!$C$21)," ",AA7*100000000/'Calc-Units'!$C$21)</f>
        <v>0.04139331196753396</v>
      </c>
      <c r="AH7" s="231">
        <f>IF(ISERROR(AB7*100000000/'Calc-Units'!$C$21)," ",AB7*100000000/'Calc-Units'!$C$21)</f>
        <v>0.10427228218197596</v>
      </c>
      <c r="AI7" s="78"/>
      <c r="AJ7" s="71">
        <v>1</v>
      </c>
      <c r="AK7" s="72">
        <f t="shared" si="3"/>
        <v>86.73865287324719</v>
      </c>
      <c r="AL7" s="73">
        <f t="shared" si="4"/>
        <v>0</v>
      </c>
      <c r="AM7" s="72"/>
      <c r="AN7" s="72"/>
      <c r="AO7" s="75">
        <f aca="true" t="shared" si="5" ref="AO7:AR38">IF(ISERROR(Y7*(1-$AJ7))," ",Y7*(1-$AJ7))</f>
        <v>0</v>
      </c>
      <c r="AP7" s="75">
        <f t="shared" si="5"/>
        <v>0</v>
      </c>
      <c r="AQ7" s="75">
        <f t="shared" si="5"/>
        <v>0</v>
      </c>
      <c r="AR7" s="140">
        <f t="shared" si="5"/>
        <v>0</v>
      </c>
      <c r="AS7" s="76"/>
      <c r="AT7" s="78"/>
      <c r="AU7" s="77">
        <f>IF(ISERROR(AO7*100000000/'Calc-Units'!$E$21)," ",AO7*100000000/'Calc-Units'!$E$21)</f>
        <v>0</v>
      </c>
      <c r="AV7" s="77">
        <f>IF(ISERROR(AP7*100000000/'Calc-Units'!$D$21)," ",AP7*100000000/'Calc-Units'!$D$21)</f>
        <v>0</v>
      </c>
      <c r="AW7" s="77">
        <f>IF(ISERROR(AQ7*100000000/'Calc-Units'!$C$21)," ",AQ7*100000000/'Calc-Units'!$C$21)</f>
        <v>0</v>
      </c>
      <c r="AX7" s="231">
        <f>IF(ISERROR(AR7*100000000/'Calc-Units'!$C$21)," ",AR7*100000000/'Calc-Units'!$C$21)</f>
        <v>0</v>
      </c>
      <c r="AZ7" s="82"/>
      <c r="BA7" s="70"/>
    </row>
    <row r="8" spans="1:53" s="69" customFormat="1" ht="12.75">
      <c r="A8" s="87"/>
      <c r="B8" s="79"/>
      <c r="C8" s="106" t="s">
        <v>234</v>
      </c>
      <c r="D8" s="118">
        <f>'RRP 1.3'!F$12</f>
        <v>2.29019998832</v>
      </c>
      <c r="E8" s="118">
        <v>0</v>
      </c>
      <c r="F8" s="118">
        <v>0</v>
      </c>
      <c r="G8" s="118">
        <v>0</v>
      </c>
      <c r="H8" s="118">
        <v>0</v>
      </c>
      <c r="I8" s="118">
        <f t="shared" si="0"/>
        <v>2.29019998832</v>
      </c>
      <c r="J8" s="111"/>
      <c r="K8" s="72"/>
      <c r="L8" s="118" t="s">
        <v>255</v>
      </c>
      <c r="M8" s="133">
        <f>IF(ISERROR(VLOOKUP($L8,'Calc-Drivers'!$B$17:$F$27,M$42,FALSE))," ",VLOOKUP($L8,'Calc-Drivers'!$B$17:$F$27,M$42,FALSE))</f>
        <v>0.37688402427627665</v>
      </c>
      <c r="N8" s="133">
        <f>IF(ISERROR(VLOOKUP($L8,'Calc-Drivers'!$B$17:$F$27,N$42,FALSE))," ",VLOOKUP($L8,'Calc-Drivers'!$B$17:$F$27,N$42,FALSE))</f>
        <v>0.13148746175802342</v>
      </c>
      <c r="O8" s="133">
        <f>IF(ISERROR(VLOOKUP($L8,'Calc-Drivers'!$B$17:$F$27,O$42,FALSE))," ",VLOOKUP($L8,'Calc-Drivers'!$B$17:$F$27,O$42,FALSE))</f>
        <v>0.03534221933809291</v>
      </c>
      <c r="P8" s="133">
        <f>IF(ISERROR(VLOOKUP($L8,'Calc-Drivers'!$B$17:$F$27,P$42,FALSE))," ",VLOOKUP($L8,'Calc-Drivers'!$B$17:$F$27,P$42,FALSE))</f>
        <v>0.456286294627607</v>
      </c>
      <c r="Q8" s="147"/>
      <c r="R8" s="74"/>
      <c r="S8" s="75">
        <f t="shared" si="1"/>
        <v>0.8631397879955234</v>
      </c>
      <c r="T8" s="75">
        <f t="shared" si="1"/>
        <v>0.3011325833824517</v>
      </c>
      <c r="U8" s="75">
        <f t="shared" si="1"/>
        <v>0.08094075031530326</v>
      </c>
      <c r="V8" s="140">
        <f t="shared" si="1"/>
        <v>1.0449868666267217</v>
      </c>
      <c r="W8" s="76"/>
      <c r="X8" s="70"/>
      <c r="Y8" s="75">
        <f t="shared" si="2"/>
        <v>0.8631397879955234</v>
      </c>
      <c r="Z8" s="75">
        <f t="shared" si="2"/>
        <v>0.3011325833824517</v>
      </c>
      <c r="AA8" s="75">
        <f t="shared" si="2"/>
        <v>0.08094075031530326</v>
      </c>
      <c r="AB8" s="140">
        <f t="shared" si="2"/>
        <v>1.0449868666267217</v>
      </c>
      <c r="AC8" s="76"/>
      <c r="AD8" s="76"/>
      <c r="AE8" s="77">
        <f>IF(ISERROR(Y8*100000000/'Calc-Units'!$E$21)," ",Y8*100000000/'Calc-Units'!$E$21)</f>
        <v>0.0032628686496740792</v>
      </c>
      <c r="AF8" s="77">
        <f>IF(ISERROR(Z8*100000000/'Calc-Units'!$D$21)," ",Z8*100000000/'Calc-Units'!$D$21)</f>
        <v>0.0011642487367418588</v>
      </c>
      <c r="AG8" s="77">
        <f>IF(ISERROR(AA8*100000000/'Calc-Units'!$C$21)," ",AA8*100000000/'Calc-Units'!$C$21)</f>
        <v>0.00047378102502518884</v>
      </c>
      <c r="AH8" s="231">
        <f>IF(ISERROR(AB8*100000000/'Calc-Units'!$C$21)," ",AB8*100000000/'Calc-Units'!$C$21)</f>
        <v>0.006116757589713894</v>
      </c>
      <c r="AI8" s="78"/>
      <c r="AJ8" s="71">
        <v>0.235</v>
      </c>
      <c r="AK8" s="72">
        <f t="shared" si="3"/>
        <v>0.5381969972552</v>
      </c>
      <c r="AL8" s="73">
        <f t="shared" si="4"/>
        <v>1.7520029910648</v>
      </c>
      <c r="AM8" s="72"/>
      <c r="AN8" s="72"/>
      <c r="AO8" s="75">
        <f t="shared" si="5"/>
        <v>0.6603019378165754</v>
      </c>
      <c r="AP8" s="75">
        <f t="shared" si="5"/>
        <v>0.23036642628757556</v>
      </c>
      <c r="AQ8" s="75">
        <f t="shared" si="5"/>
        <v>0.06191967399120699</v>
      </c>
      <c r="AR8" s="140">
        <f t="shared" si="5"/>
        <v>0.7994149529694421</v>
      </c>
      <c r="AS8" s="76"/>
      <c r="AT8" s="78"/>
      <c r="AU8" s="77">
        <f>IF(ISERROR(AO8*100000000/'Calc-Units'!$E$21)," ",AO8*100000000/'Calc-Units'!$E$21)</f>
        <v>0.0024960945170006705</v>
      </c>
      <c r="AV8" s="77">
        <f>IF(ISERROR(AP8*100000000/'Calc-Units'!$D$21)," ",AP8*100000000/'Calc-Units'!$D$21)</f>
        <v>0.000890650283607522</v>
      </c>
      <c r="AW8" s="77">
        <f>IF(ISERROR(AQ8*100000000/'Calc-Units'!$C$21)," ",AQ8*100000000/'Calc-Units'!$C$21)</f>
        <v>0.00036244248414426947</v>
      </c>
      <c r="AX8" s="231">
        <f>IF(ISERROR(AR8*100000000/'Calc-Units'!$C$21)," ",AR8*100000000/'Calc-Units'!$C$21)</f>
        <v>0.004679319556131129</v>
      </c>
      <c r="AZ8" s="82"/>
      <c r="BA8" s="70"/>
    </row>
    <row r="9" spans="1:53" s="69" customFormat="1" ht="12.75">
      <c r="A9" s="87"/>
      <c r="B9" s="79"/>
      <c r="C9" s="106" t="s">
        <v>764</v>
      </c>
      <c r="D9" s="118">
        <f>'RRP 1.3'!G$12</f>
        <v>23.607461477008215</v>
      </c>
      <c r="E9" s="118">
        <f>SUM('RRP 2.3'!I20:I27)</f>
        <v>2.7149327240017325</v>
      </c>
      <c r="F9" s="118">
        <f>SUM('RRP 2.3'!I17:I18)</f>
        <v>5.279170858943522</v>
      </c>
      <c r="G9" s="118">
        <f>SUM('RRP 2.3'!I19)</f>
        <v>0.5823446694538564</v>
      </c>
      <c r="H9" s="118">
        <f>SUM('RRP 2.3'!I11:I16)</f>
        <v>15.272426893891403</v>
      </c>
      <c r="I9" s="118">
        <f t="shared" si="0"/>
        <v>-0.24141366928230212</v>
      </c>
      <c r="J9" s="111"/>
      <c r="K9" s="72"/>
      <c r="L9" s="118" t="s">
        <v>255</v>
      </c>
      <c r="M9" s="133">
        <f>IF(ISERROR(VLOOKUP($L9,'Calc-Drivers'!$B$17:$F$27,M$42,FALSE))," ",VLOOKUP($L9,'Calc-Drivers'!$B$17:$F$27,M$42,FALSE))</f>
        <v>0.37688402427627665</v>
      </c>
      <c r="N9" s="133">
        <f>IF(ISERROR(VLOOKUP($L9,'Calc-Drivers'!$B$17:$F$27,N$42,FALSE))," ",VLOOKUP($L9,'Calc-Drivers'!$B$17:$F$27,N$42,FALSE))</f>
        <v>0.13148746175802342</v>
      </c>
      <c r="O9" s="133">
        <f>IF(ISERROR(VLOOKUP($L9,'Calc-Drivers'!$B$17:$F$27,O$42,FALSE))," ",VLOOKUP($L9,'Calc-Drivers'!$B$17:$F$27,O$42,FALSE))</f>
        <v>0.03534221933809291</v>
      </c>
      <c r="P9" s="133">
        <f>IF(ISERROR(VLOOKUP($L9,'Calc-Drivers'!$B$17:$F$27,P$42,FALSE))," ",VLOOKUP($L9,'Calc-Drivers'!$B$17:$F$27,P$42,FALSE))</f>
        <v>0.456286294627607</v>
      </c>
      <c r="Q9" s="147"/>
      <c r="R9" s="74"/>
      <c r="S9" s="75">
        <f t="shared" si="1"/>
        <v>-0.09098495519441617</v>
      </c>
      <c r="T9" s="75">
        <f t="shared" si="1"/>
        <v>-0.031742870607620814</v>
      </c>
      <c r="U9" s="75">
        <f t="shared" si="1"/>
        <v>-0.008532094850988945</v>
      </c>
      <c r="V9" s="140">
        <f t="shared" si="1"/>
        <v>-0.11015374862927618</v>
      </c>
      <c r="W9" s="76"/>
      <c r="X9" s="70"/>
      <c r="Y9" s="75">
        <f t="shared" si="2"/>
        <v>2.6239477688073163</v>
      </c>
      <c r="Z9" s="75">
        <f t="shared" si="2"/>
        <v>5.247427988335901</v>
      </c>
      <c r="AA9" s="75">
        <f t="shared" si="2"/>
        <v>0.5738125746028675</v>
      </c>
      <c r="AB9" s="140">
        <f t="shared" si="2"/>
        <v>15.162273145262127</v>
      </c>
      <c r="AC9" s="76"/>
      <c r="AD9" s="76"/>
      <c r="AE9" s="77">
        <f>IF(ISERROR(Y9*100000000/'Calc-Units'!$E$21)," ",Y9*100000000/'Calc-Units'!$E$21)</f>
        <v>0.009919131329939393</v>
      </c>
      <c r="AF9" s="77">
        <f>IF(ISERROR(Z9*100000000/'Calc-Units'!$D$21)," ",Z9*100000000/'Calc-Units'!$D$21)</f>
        <v>0.020287779349353406</v>
      </c>
      <c r="AG9" s="77">
        <f>IF(ISERROR(AA9*100000000/'Calc-Units'!$C$21)," ",AA9*100000000/'Calc-Units'!$C$21)</f>
        <v>0.003358771801702573</v>
      </c>
      <c r="AH9" s="231">
        <f>IF(ISERROR(AB9*100000000/'Calc-Units'!$C$21)," ",AB9*100000000/'Calc-Units'!$C$21)</f>
        <v>0.08875130616519625</v>
      </c>
      <c r="AI9" s="78"/>
      <c r="AJ9" s="71">
        <v>0.235</v>
      </c>
      <c r="AK9" s="72">
        <f t="shared" si="3"/>
        <v>5.54775344709693</v>
      </c>
      <c r="AL9" s="73">
        <f t="shared" si="4"/>
        <v>18.059708029911285</v>
      </c>
      <c r="AM9" s="72"/>
      <c r="AN9" s="72"/>
      <c r="AO9" s="75">
        <f t="shared" si="5"/>
        <v>2.007320043137597</v>
      </c>
      <c r="AP9" s="75">
        <f t="shared" si="5"/>
        <v>4.014282411076964</v>
      </c>
      <c r="AQ9" s="75">
        <f t="shared" si="5"/>
        <v>0.43896661957119365</v>
      </c>
      <c r="AR9" s="140">
        <f t="shared" si="5"/>
        <v>11.599138956125527</v>
      </c>
      <c r="AS9" s="76"/>
      <c r="AT9" s="78"/>
      <c r="AU9" s="77">
        <f>IF(ISERROR(AO9*100000000/'Calc-Units'!$E$21)," ",AO9*100000000/'Calc-Units'!$E$21)</f>
        <v>0.007588135467403636</v>
      </c>
      <c r="AV9" s="77">
        <f>IF(ISERROR(AP9*100000000/'Calc-Units'!$D$21)," ",AP9*100000000/'Calc-Units'!$D$21)</f>
        <v>0.015520151202255356</v>
      </c>
      <c r="AW9" s="77">
        <f>IF(ISERROR(AQ9*100000000/'Calc-Units'!$C$21)," ",AQ9*100000000/'Calc-Units'!$C$21)</f>
        <v>0.002569460428302468</v>
      </c>
      <c r="AX9" s="231">
        <f>IF(ISERROR(AR9*100000000/'Calc-Units'!$C$21)," ",AR9*100000000/'Calc-Units'!$C$21)</f>
        <v>0.06789474921637513</v>
      </c>
      <c r="AZ9" s="82"/>
      <c r="BA9" s="70"/>
    </row>
    <row r="10" spans="1:53" s="69" customFormat="1" ht="12.75">
      <c r="A10" s="87"/>
      <c r="B10" s="79"/>
      <c r="C10" s="106" t="s">
        <v>126</v>
      </c>
      <c r="D10" s="118">
        <f>'RRP 1.3'!H$12</f>
        <v>11.683384510026801</v>
      </c>
      <c r="E10" s="118">
        <f>SUM('RRP 2.3'!G20:G27)</f>
        <v>2.704219864242246</v>
      </c>
      <c r="F10" s="118">
        <f>SUM('RRP 2.3'!G17:G18)</f>
        <v>0.43626357364726914</v>
      </c>
      <c r="G10" s="150">
        <f>SUM('RRP 2.3'!G19)</f>
        <v>5.284050496461193</v>
      </c>
      <c r="H10" s="118">
        <f>SUM('RRP 2.3'!G11:G16)</f>
        <v>1.544112575676091</v>
      </c>
      <c r="I10" s="118">
        <f t="shared" si="0"/>
        <v>1.7147380000000032</v>
      </c>
      <c r="J10" s="111"/>
      <c r="K10" s="72"/>
      <c r="L10" s="120" t="s">
        <v>255</v>
      </c>
      <c r="M10" s="133">
        <f>IF(ISERROR(VLOOKUP($L10,'Calc-Drivers'!$B$17:$F$27,M$42,FALSE))," ",VLOOKUP($L10,'Calc-Drivers'!$B$17:$F$27,M$42,FALSE))</f>
        <v>0.37688402427627665</v>
      </c>
      <c r="N10" s="133">
        <f>IF(ISERROR(VLOOKUP($L10,'Calc-Drivers'!$B$17:$F$27,N$42,FALSE))," ",VLOOKUP($L10,'Calc-Drivers'!$B$17:$F$27,N$42,FALSE))</f>
        <v>0.13148746175802342</v>
      </c>
      <c r="O10" s="133">
        <f>IF(ISERROR(VLOOKUP($L10,'Calc-Drivers'!$B$17:$F$27,O$42,FALSE))," ",VLOOKUP($L10,'Calc-Drivers'!$B$17:$F$27,O$42,FALSE))</f>
        <v>0.03534221933809291</v>
      </c>
      <c r="P10" s="133">
        <f>IF(ISERROR(VLOOKUP($L10,'Calc-Drivers'!$B$17:$F$27,P$42,FALSE))," ",VLOOKUP($L10,'Calc-Drivers'!$B$17:$F$27,P$42,FALSE))</f>
        <v>0.456286294627607</v>
      </c>
      <c r="Q10" s="147"/>
      <c r="R10" s="74"/>
      <c r="S10" s="75">
        <f t="shared" si="1"/>
        <v>0.6462573580194553</v>
      </c>
      <c r="T10" s="75">
        <f t="shared" si="1"/>
        <v>0.22546654720002998</v>
      </c>
      <c r="U10" s="75">
        <f t="shared" si="1"/>
        <v>0.06060264650336287</v>
      </c>
      <c r="V10" s="140">
        <f t="shared" si="1"/>
        <v>0.782411448277155</v>
      </c>
      <c r="W10" s="76"/>
      <c r="X10" s="70"/>
      <c r="Y10" s="75">
        <f t="shared" si="2"/>
        <v>3.350477222261701</v>
      </c>
      <c r="Z10" s="75">
        <f t="shared" si="2"/>
        <v>0.6617301208472991</v>
      </c>
      <c r="AA10" s="75">
        <f t="shared" si="2"/>
        <v>5.344653142964556</v>
      </c>
      <c r="AB10" s="140">
        <f t="shared" si="2"/>
        <v>2.326524023953246</v>
      </c>
      <c r="AC10" s="76"/>
      <c r="AD10" s="76"/>
      <c r="AE10" s="77">
        <f>IF(ISERROR(Y10*100000000/'Calc-Units'!$E$21)," ",Y10*100000000/'Calc-Units'!$E$21)</f>
        <v>0.012665581221035654</v>
      </c>
      <c r="AF10" s="77">
        <f>IF(ISERROR(Z10*100000000/'Calc-Units'!$D$21)," ",Z10*100000000/'Calc-Units'!$D$21)</f>
        <v>0.0025584028423853425</v>
      </c>
      <c r="AG10" s="77">
        <f>IF(ISERROR(AA10*100000000/'Calc-Units'!$C$21)," ",AA10*100000000/'Calc-Units'!$C$21)</f>
        <v>0.03128455363477263</v>
      </c>
      <c r="AH10" s="231">
        <f>IF(ISERROR(AB10*100000000/'Calc-Units'!$C$21)," ",AB10*100000000/'Calc-Units'!$C$21)</f>
        <v>0.01361814577354979</v>
      </c>
      <c r="AI10" s="78"/>
      <c r="AJ10" s="71">
        <v>0.235</v>
      </c>
      <c r="AK10" s="72">
        <f t="shared" si="3"/>
        <v>2.7455953598562983</v>
      </c>
      <c r="AL10" s="73">
        <f t="shared" si="4"/>
        <v>8.937789150170504</v>
      </c>
      <c r="AM10" s="72"/>
      <c r="AN10" s="72"/>
      <c r="AO10" s="144">
        <f t="shared" si="5"/>
        <v>2.5631150750302014</v>
      </c>
      <c r="AP10" s="144">
        <f t="shared" si="5"/>
        <v>0.5062235424481838</v>
      </c>
      <c r="AQ10" s="144">
        <f t="shared" si="5"/>
        <v>4.088659654367885</v>
      </c>
      <c r="AR10" s="141">
        <f t="shared" si="5"/>
        <v>1.7797908783242333</v>
      </c>
      <c r="AS10" s="76"/>
      <c r="AT10" s="78"/>
      <c r="AU10" s="232">
        <f>IF(ISERROR(AO10*100000000/'Calc-Units'!$E$21)," ",AO10*100000000/'Calc-Units'!$E$21)</f>
        <v>0.009689169634092274</v>
      </c>
      <c r="AV10" s="232">
        <f>IF(ISERROR(AP10*100000000/'Calc-Units'!$D$21)," ",AP10*100000000/'Calc-Units'!$D$21)</f>
        <v>0.001957178174424787</v>
      </c>
      <c r="AW10" s="232">
        <f>IF(ISERROR(AQ10*100000000/'Calc-Units'!$C$21)," ",AQ10*100000000/'Calc-Units'!$C$21)</f>
        <v>0.02393268353060106</v>
      </c>
      <c r="AX10" s="233">
        <f>IF(ISERROR(AR10*100000000/'Calc-Units'!$C$21)," ",AR10*100000000/'Calc-Units'!$C$21)</f>
        <v>0.010417881516765589</v>
      </c>
      <c r="AZ10" s="82"/>
      <c r="BA10" s="70"/>
    </row>
    <row r="11" spans="1:53" s="69" customFormat="1" ht="12.75">
      <c r="A11" s="90"/>
      <c r="B11" s="79"/>
      <c r="C11" s="225" t="s">
        <v>766</v>
      </c>
      <c r="D11" s="130">
        <f>'RRP 1.3'!I$12</f>
        <v>4.908277594</v>
      </c>
      <c r="E11" s="130">
        <f>'RRP 2.3'!G46+'RRP 2.3'!G47</f>
        <v>0.5412613538394495</v>
      </c>
      <c r="F11" s="130">
        <f>'RRP 2.3'!G45</f>
        <v>5.282047541853278</v>
      </c>
      <c r="G11" s="131">
        <v>0</v>
      </c>
      <c r="H11" s="130">
        <f>'RRP 2.3'!G44</f>
        <v>3.1008321843072717</v>
      </c>
      <c r="I11" s="130">
        <f t="shared" si="0"/>
        <v>-4.015863485999999</v>
      </c>
      <c r="J11" s="111"/>
      <c r="K11" s="72"/>
      <c r="L11" s="142" t="s">
        <v>255</v>
      </c>
      <c r="M11" s="227">
        <f>IF(ISERROR(VLOOKUP($L11,'Calc-Drivers'!$B$17:$F$27,M$42,FALSE))," ",VLOOKUP($L11,'Calc-Drivers'!$B$17:$F$27,M$42,FALSE))</f>
        <v>0.37688402427627665</v>
      </c>
      <c r="N11" s="227">
        <f>IF(ISERROR(VLOOKUP($L11,'Calc-Drivers'!$B$17:$F$27,N$42,FALSE))," ",VLOOKUP($L11,'Calc-Drivers'!$B$17:$F$27,N$42,FALSE))</f>
        <v>0.13148746175802342</v>
      </c>
      <c r="O11" s="227">
        <f>IF(ISERROR(VLOOKUP($L11,'Calc-Drivers'!$B$17:$F$27,O$42,FALSE))," ",VLOOKUP($L11,'Calc-Drivers'!$B$17:$F$27,O$42,FALSE))</f>
        <v>0.03534221933809291</v>
      </c>
      <c r="P11" s="227">
        <f>IF(ISERROR(VLOOKUP($L11,'Calc-Drivers'!$B$17:$F$27,P$42,FALSE))," ",VLOOKUP($L11,'Calc-Drivers'!$B$17:$F$27,P$42,FALSE))</f>
        <v>0.456286294627607</v>
      </c>
      <c r="Q11" s="147"/>
      <c r="R11" s="74"/>
      <c r="S11" s="144">
        <f t="shared" si="1"/>
        <v>-1.5135147915478366</v>
      </c>
      <c r="T11" s="144">
        <f t="shared" si="1"/>
        <v>-0.5280356965408675</v>
      </c>
      <c r="U11" s="144">
        <f t="shared" si="1"/>
        <v>-0.14192952815405036</v>
      </c>
      <c r="V11" s="141">
        <f t="shared" si="1"/>
        <v>-1.8323834697572443</v>
      </c>
      <c r="W11" s="76"/>
      <c r="X11" s="70"/>
      <c r="Y11" s="144">
        <f t="shared" si="2"/>
        <v>-0.9722534377083871</v>
      </c>
      <c r="Z11" s="144">
        <f t="shared" si="2"/>
        <v>4.7540118453124105</v>
      </c>
      <c r="AA11" s="144">
        <f t="shared" si="2"/>
        <v>-0.14192952815405036</v>
      </c>
      <c r="AB11" s="141">
        <f t="shared" si="2"/>
        <v>1.2684487145500274</v>
      </c>
      <c r="AC11" s="76"/>
      <c r="AD11" s="76"/>
      <c r="AE11" s="232">
        <f>IF(ISERROR(Y11*100000000/'Calc-Units'!$E$21)," ",Y11*100000000/'Calc-Units'!$E$21)</f>
        <v>-0.0036753435602866675</v>
      </c>
      <c r="AF11" s="232">
        <f>IF(ISERROR(Z11*100000000/'Calc-Units'!$D$21)," ",Z11*100000000/'Calc-Units'!$D$21)</f>
        <v>0.01838011756546219</v>
      </c>
      <c r="AG11" s="232">
        <f>IF(ISERROR(AA11*100000000/'Calc-Units'!$C$21)," ",AA11*100000000/'Calc-Units'!$C$21)</f>
        <v>-0.0008307745736013249</v>
      </c>
      <c r="AH11" s="233">
        <f>IF(ISERROR(AB11*100000000/'Calc-Units'!$C$21)," ",AB11*100000000/'Calc-Units'!$C$21)</f>
        <v>0.007424775898794354</v>
      </c>
      <c r="AI11" s="78"/>
      <c r="AJ11" s="235">
        <v>0.235</v>
      </c>
      <c r="AK11" s="236">
        <f t="shared" si="3"/>
        <v>1.15344523459</v>
      </c>
      <c r="AL11" s="237">
        <f t="shared" si="4"/>
        <v>3.7548323594100004</v>
      </c>
      <c r="AM11" s="72"/>
      <c r="AN11" s="72"/>
      <c r="AO11" s="143">
        <f t="shared" si="5"/>
        <v>-0.7437738798469161</v>
      </c>
      <c r="AP11" s="143">
        <f t="shared" si="5"/>
        <v>3.636819061663994</v>
      </c>
      <c r="AQ11" s="143">
        <f t="shared" si="5"/>
        <v>-0.10857608903784852</v>
      </c>
      <c r="AR11" s="139">
        <f t="shared" si="5"/>
        <v>0.970363266630771</v>
      </c>
      <c r="AS11" s="76"/>
      <c r="AT11" s="78"/>
      <c r="AU11" s="255">
        <f>IF(ISERROR(AO11*100000000/'Calc-Units'!$E$21)," ",AO11*100000000/'Calc-Units'!$E$21)</f>
        <v>-0.0028116378236193004</v>
      </c>
      <c r="AV11" s="255">
        <f>IF(ISERROR(AP11*100000000/'Calc-Units'!$D$21)," ",AP11*100000000/'Calc-Units'!$D$21)</f>
        <v>0.014060789937578574</v>
      </c>
      <c r="AW11" s="255">
        <f>IF(ISERROR(AQ11*100000000/'Calc-Units'!$C$21)," ",AQ11*100000000/'Calc-Units'!$C$21)</f>
        <v>-0.0006355425488050136</v>
      </c>
      <c r="AX11" s="256">
        <f>IF(ISERROR(AR11*100000000/'Calc-Units'!$C$21)," ",AR11*100000000/'Calc-Units'!$C$21)</f>
        <v>0.005679953562577681</v>
      </c>
      <c r="AZ11" s="82"/>
      <c r="BA11" s="70"/>
    </row>
    <row r="12" spans="1:53" s="85" customFormat="1" ht="12.75" customHeight="1">
      <c r="A12" s="87"/>
      <c r="B12" s="224" t="s">
        <v>716</v>
      </c>
      <c r="C12" s="107" t="s">
        <v>704</v>
      </c>
      <c r="D12" s="120">
        <f>'RRP 1.3'!J$12</f>
        <v>0.7748693844631999</v>
      </c>
      <c r="E12" s="120">
        <v>0</v>
      </c>
      <c r="F12" s="120">
        <v>0</v>
      </c>
      <c r="G12" s="120">
        <v>0</v>
      </c>
      <c r="H12" s="120">
        <v>0</v>
      </c>
      <c r="I12" s="120">
        <f t="shared" si="0"/>
        <v>0.7748693844631999</v>
      </c>
      <c r="J12" s="112"/>
      <c r="K12" s="81"/>
      <c r="L12" s="120" t="s">
        <v>255</v>
      </c>
      <c r="M12" s="133">
        <f>IF(ISERROR(VLOOKUP($L12,'Calc-Drivers'!$B$17:$F$27,M$42,FALSE))," ",VLOOKUP($L12,'Calc-Drivers'!$B$17:$F$27,M$42,FALSE))</f>
        <v>0.37688402427627665</v>
      </c>
      <c r="N12" s="133">
        <f>IF(ISERROR(VLOOKUP($L12,'Calc-Drivers'!$B$17:$F$27,N$42,FALSE))," ",VLOOKUP($L12,'Calc-Drivers'!$B$17:$F$27,N$42,FALSE))</f>
        <v>0.13148746175802342</v>
      </c>
      <c r="O12" s="133">
        <f>IF(ISERROR(VLOOKUP($L12,'Calc-Drivers'!$B$17:$F$27,O$42,FALSE))," ",VLOOKUP($L12,'Calc-Drivers'!$B$17:$F$27,O$42,FALSE))</f>
        <v>0.03534221933809291</v>
      </c>
      <c r="P12" s="133">
        <f>IF(ISERROR(VLOOKUP($L12,'Calc-Drivers'!$B$17:$F$27,P$42,FALSE))," ",VLOOKUP($L12,'Calc-Drivers'!$B$17:$F$27,P$42,FALSE))</f>
        <v>0.456286294627607</v>
      </c>
      <c r="Q12" s="147"/>
      <c r="R12" s="74"/>
      <c r="S12" s="75">
        <f t="shared" si="1"/>
        <v>0.29203589190497214</v>
      </c>
      <c r="T12" s="75">
        <f t="shared" si="1"/>
        <v>0.10188560855706814</v>
      </c>
      <c r="U12" s="75">
        <f t="shared" si="1"/>
        <v>0.02738560374407145</v>
      </c>
      <c r="V12" s="140">
        <f t="shared" si="1"/>
        <v>0.3535622802570881</v>
      </c>
      <c r="W12" s="76"/>
      <c r="X12" s="82"/>
      <c r="Y12" s="143">
        <f t="shared" si="2"/>
        <v>0.29203589190497214</v>
      </c>
      <c r="Z12" s="143">
        <f t="shared" si="2"/>
        <v>0.10188560855706814</v>
      </c>
      <c r="AA12" s="143">
        <f t="shared" si="2"/>
        <v>0.02738560374407145</v>
      </c>
      <c r="AB12" s="139">
        <f t="shared" si="2"/>
        <v>0.3535622802570881</v>
      </c>
      <c r="AC12" s="83"/>
      <c r="AD12" s="83"/>
      <c r="AE12" s="255">
        <f>IF(ISERROR(Y12*100000000/'Calc-Units'!$E$21)," ",Y12*100000000/'Calc-Units'!$E$21)</f>
        <v>0.0011039634246142339</v>
      </c>
      <c r="AF12" s="255">
        <f>IF(ISERROR(Z12*100000000/'Calc-Units'!$D$21)," ",Z12*100000000/'Calc-Units'!$D$21)</f>
        <v>0.0003939135038870544</v>
      </c>
      <c r="AG12" s="255">
        <f>IF(ISERROR(AA12*100000000/'Calc-Units'!$C$21)," ",AA12*100000000/'Calc-Units'!$C$21)</f>
        <v>0.00016029971753729486</v>
      </c>
      <c r="AH12" s="256">
        <f>IF(ISERROR(AB12*100000000/'Calc-Units'!$C$21)," ",AB12*100000000/'Calc-Units'!$C$21)</f>
        <v>0.0020695520970328268</v>
      </c>
      <c r="AI12" s="84"/>
      <c r="AJ12" s="259">
        <v>0.5257</v>
      </c>
      <c r="AK12" s="250">
        <f t="shared" si="3"/>
        <v>0.4073488354123041</v>
      </c>
      <c r="AL12" s="251">
        <f t="shared" si="4"/>
        <v>0.36752054905089576</v>
      </c>
      <c r="AM12" s="72"/>
      <c r="AN12" s="72"/>
      <c r="AO12" s="75">
        <f t="shared" si="5"/>
        <v>0.13851262353052832</v>
      </c>
      <c r="AP12" s="75">
        <f t="shared" si="5"/>
        <v>0.04832434413861743</v>
      </c>
      <c r="AQ12" s="75">
        <f t="shared" si="5"/>
        <v>0.01298899185581309</v>
      </c>
      <c r="AR12" s="140">
        <f t="shared" si="5"/>
        <v>0.16769458952593688</v>
      </c>
      <c r="AS12" s="76"/>
      <c r="AT12" s="84"/>
      <c r="AU12" s="77">
        <f>IF(ISERROR(AO12*100000000/'Calc-Units'!$E$21)," ",AO12*100000000/'Calc-Units'!$E$21)</f>
        <v>0.0005236098522945312</v>
      </c>
      <c r="AV12" s="77">
        <f>IF(ISERROR(AP12*100000000/'Calc-Units'!$D$21)," ",AP12*100000000/'Calc-Units'!$D$21)</f>
        <v>0.00018683317489362992</v>
      </c>
      <c r="AW12" s="77">
        <f>IF(ISERROR(AQ12*100000000/'Calc-Units'!$C$21)," ",AQ12*100000000/'Calc-Units'!$C$21)</f>
        <v>7.603015602793894E-05</v>
      </c>
      <c r="AX12" s="231">
        <f>IF(ISERROR(AR12*100000000/'Calc-Units'!$C$21)," ",AR12*100000000/'Calc-Units'!$C$21)</f>
        <v>0.0009815885596226696</v>
      </c>
      <c r="AZ12" s="82"/>
      <c r="BA12" s="82"/>
    </row>
    <row r="13" spans="1:53" s="85" customFormat="1" ht="12.75">
      <c r="A13" s="87"/>
      <c r="B13" s="86"/>
      <c r="C13" s="107" t="s">
        <v>705</v>
      </c>
      <c r="D13" s="120">
        <f>'RRP 1.3'!K$12</f>
        <v>5.623596795263783</v>
      </c>
      <c r="E13" s="120">
        <v>0</v>
      </c>
      <c r="F13" s="120">
        <v>0</v>
      </c>
      <c r="G13" s="120">
        <v>0</v>
      </c>
      <c r="H13" s="120">
        <v>0</v>
      </c>
      <c r="I13" s="120">
        <f t="shared" si="0"/>
        <v>5.623596795263783</v>
      </c>
      <c r="J13" s="112"/>
      <c r="K13" s="81"/>
      <c r="L13" s="120" t="s">
        <v>255</v>
      </c>
      <c r="M13" s="133">
        <f>IF(ISERROR(VLOOKUP($L13,'Calc-Drivers'!$B$17:$F$27,M$42,FALSE))," ",VLOOKUP($L13,'Calc-Drivers'!$B$17:$F$27,M$42,FALSE))</f>
        <v>0.37688402427627665</v>
      </c>
      <c r="N13" s="133">
        <f>IF(ISERROR(VLOOKUP($L13,'Calc-Drivers'!$B$17:$F$27,N$42,FALSE))," ",VLOOKUP($L13,'Calc-Drivers'!$B$17:$F$27,N$42,FALSE))</f>
        <v>0.13148746175802342</v>
      </c>
      <c r="O13" s="133">
        <f>IF(ISERROR(VLOOKUP($L13,'Calc-Drivers'!$B$17:$F$27,O$42,FALSE))," ",VLOOKUP($L13,'Calc-Drivers'!$B$17:$F$27,O$42,FALSE))</f>
        <v>0.03534221933809291</v>
      </c>
      <c r="P13" s="133">
        <f>IF(ISERROR(VLOOKUP($L13,'Calc-Drivers'!$B$17:$F$27,P$42,FALSE))," ",VLOOKUP($L13,'Calc-Drivers'!$B$17:$F$27,P$42,FALSE))</f>
        <v>0.456286294627607</v>
      </c>
      <c r="Q13" s="147"/>
      <c r="R13" s="74"/>
      <c r="S13" s="75">
        <f t="shared" si="1"/>
        <v>2.119443791106187</v>
      </c>
      <c r="T13" s="75">
        <f t="shared" si="1"/>
        <v>0.7394324685597897</v>
      </c>
      <c r="U13" s="75">
        <f t="shared" si="1"/>
        <v>0.198750391407209</v>
      </c>
      <c r="V13" s="140">
        <f t="shared" si="1"/>
        <v>2.565970144190597</v>
      </c>
      <c r="W13" s="76"/>
      <c r="X13" s="82"/>
      <c r="Y13" s="75">
        <f t="shared" si="2"/>
        <v>2.119443791106187</v>
      </c>
      <c r="Z13" s="75">
        <f t="shared" si="2"/>
        <v>0.7394324685597897</v>
      </c>
      <c r="AA13" s="75">
        <f t="shared" si="2"/>
        <v>0.198750391407209</v>
      </c>
      <c r="AB13" s="140">
        <f t="shared" si="2"/>
        <v>2.565970144190597</v>
      </c>
      <c r="AC13" s="83"/>
      <c r="AD13" s="83"/>
      <c r="AE13" s="77">
        <f>IF(ISERROR(Y13*100000000/'Calc-Units'!$E$21)," ",Y13*100000000/'Calc-Units'!$E$21)</f>
        <v>0.008011989247774803</v>
      </c>
      <c r="AF13" s="77">
        <f>IF(ISERROR(Z13*100000000/'Calc-Units'!$D$21)," ",Z13*100000000/'Calc-Units'!$D$21)</f>
        <v>0.0028588182247063234</v>
      </c>
      <c r="AG13" s="77">
        <f>IF(ISERROR(AA13*100000000/'Calc-Units'!$C$21)," ",AA13*100000000/'Calc-Units'!$C$21)</f>
        <v>0.001163371525446084</v>
      </c>
      <c r="AH13" s="231">
        <f>IF(ISERROR(AB13*100000000/'Calc-Units'!$C$21)," ",AB13*100000000/'Calc-Units'!$C$21)</f>
        <v>0.015019726903480432</v>
      </c>
      <c r="AI13" s="84"/>
      <c r="AJ13" s="80">
        <v>0.5257</v>
      </c>
      <c r="AK13" s="72">
        <f t="shared" si="3"/>
        <v>2.9563248352701703</v>
      </c>
      <c r="AL13" s="73">
        <f t="shared" si="4"/>
        <v>2.6672719599936126</v>
      </c>
      <c r="AM13" s="72"/>
      <c r="AN13" s="72"/>
      <c r="AO13" s="75">
        <f t="shared" si="5"/>
        <v>1.0052521901216647</v>
      </c>
      <c r="AP13" s="75">
        <f t="shared" si="5"/>
        <v>0.3507128198379083</v>
      </c>
      <c r="AQ13" s="75">
        <f t="shared" si="5"/>
        <v>0.09426731064443923</v>
      </c>
      <c r="AR13" s="140">
        <f t="shared" si="5"/>
        <v>1.2170396393896001</v>
      </c>
      <c r="AS13" s="76"/>
      <c r="AT13" s="84"/>
      <c r="AU13" s="77">
        <f>IF(ISERROR(AO13*100000000/'Calc-Units'!$E$21)," ",AO13*100000000/'Calc-Units'!$E$21)</f>
        <v>0.0038000865002195895</v>
      </c>
      <c r="AV13" s="77">
        <f>IF(ISERROR(AP13*100000000/'Calc-Units'!$D$21)," ",AP13*100000000/'Calc-Units'!$D$21)</f>
        <v>0.0013559374839782093</v>
      </c>
      <c r="AW13" s="77">
        <f>IF(ISERROR(AQ13*100000000/'Calc-Units'!$C$21)," ",AQ13*100000000/'Calc-Units'!$C$21)</f>
        <v>0.0005517871145190777</v>
      </c>
      <c r="AX13" s="231">
        <f>IF(ISERROR(AR13*100000000/'Calc-Units'!$C$21)," ",AR13*100000000/'Calc-Units'!$C$21)</f>
        <v>0.007123856470320769</v>
      </c>
      <c r="AZ13" s="82"/>
      <c r="BA13" s="82"/>
    </row>
    <row r="14" spans="1:53" s="85" customFormat="1" ht="12.75">
      <c r="A14" s="87"/>
      <c r="B14" s="86"/>
      <c r="C14" s="107" t="s">
        <v>706</v>
      </c>
      <c r="D14" s="120">
        <f>'RRP 1.3'!L$12</f>
        <v>4.196281057910746</v>
      </c>
      <c r="E14" s="120">
        <v>0</v>
      </c>
      <c r="F14" s="120">
        <v>0</v>
      </c>
      <c r="G14" s="120">
        <v>0</v>
      </c>
      <c r="H14" s="120">
        <v>0</v>
      </c>
      <c r="I14" s="120">
        <f t="shared" si="0"/>
        <v>4.196281057910746</v>
      </c>
      <c r="J14" s="112"/>
      <c r="K14" s="81"/>
      <c r="L14" s="120" t="s">
        <v>255</v>
      </c>
      <c r="M14" s="133">
        <f>IF(ISERROR(VLOOKUP($L14,'Calc-Drivers'!$B$17:$F$27,M$42,FALSE))," ",VLOOKUP($L14,'Calc-Drivers'!$B$17:$F$27,M$42,FALSE))</f>
        <v>0.37688402427627665</v>
      </c>
      <c r="N14" s="133">
        <f>IF(ISERROR(VLOOKUP($L14,'Calc-Drivers'!$B$17:$F$27,N$42,FALSE))," ",VLOOKUP($L14,'Calc-Drivers'!$B$17:$F$27,N$42,FALSE))</f>
        <v>0.13148746175802342</v>
      </c>
      <c r="O14" s="133">
        <f>IF(ISERROR(VLOOKUP($L14,'Calc-Drivers'!$B$17:$F$27,O$42,FALSE))," ",VLOOKUP($L14,'Calc-Drivers'!$B$17:$F$27,O$42,FALSE))</f>
        <v>0.03534221933809291</v>
      </c>
      <c r="P14" s="133">
        <f>IF(ISERROR(VLOOKUP($L14,'Calc-Drivers'!$B$17:$F$27,P$42,FALSE))," ",VLOOKUP($L14,'Calc-Drivers'!$B$17:$F$27,P$42,FALSE))</f>
        <v>0.456286294627607</v>
      </c>
      <c r="Q14" s="147"/>
      <c r="R14" s="74"/>
      <c r="S14" s="75">
        <f t="shared" si="1"/>
        <v>1.5815112920997136</v>
      </c>
      <c r="T14" s="75">
        <f t="shared" si="1"/>
        <v>0.5517583451279573</v>
      </c>
      <c r="U14" s="75">
        <f t="shared" si="1"/>
        <v>0.14830588555296614</v>
      </c>
      <c r="V14" s="140">
        <f t="shared" si="1"/>
        <v>1.9147055351301092</v>
      </c>
      <c r="W14" s="76"/>
      <c r="X14" s="82"/>
      <c r="Y14" s="75">
        <f t="shared" si="2"/>
        <v>1.5815112920997136</v>
      </c>
      <c r="Z14" s="75">
        <f t="shared" si="2"/>
        <v>0.5517583451279573</v>
      </c>
      <c r="AA14" s="75">
        <f t="shared" si="2"/>
        <v>0.14830588555296614</v>
      </c>
      <c r="AB14" s="140">
        <f t="shared" si="2"/>
        <v>1.9147055351301092</v>
      </c>
      <c r="AC14" s="83"/>
      <c r="AD14" s="83"/>
      <c r="AE14" s="77">
        <f>IF(ISERROR(Y14*100000000/'Calc-Units'!$E$21)," ",Y14*100000000/'Calc-Units'!$E$21)</f>
        <v>0.005978479599557591</v>
      </c>
      <c r="AF14" s="77">
        <f>IF(ISERROR(Z14*100000000/'Calc-Units'!$D$21)," ",Z14*100000000/'Calc-Units'!$D$21)</f>
        <v>0.0021332263320244784</v>
      </c>
      <c r="AG14" s="77">
        <f>IF(ISERROR(AA14*100000000/'Calc-Units'!$C$21)," ",AA14*100000000/'Calc-Units'!$C$21)</f>
        <v>0.0008680981359925436</v>
      </c>
      <c r="AH14" s="231">
        <f>IF(ISERROR(AB14*100000000/'Calc-Units'!$C$21)," ",AB14*100000000/'Calc-Units'!$C$21)</f>
        <v>0.011207595031199422</v>
      </c>
      <c r="AI14" s="84"/>
      <c r="AJ14" s="80">
        <v>0.5257</v>
      </c>
      <c r="AK14" s="72">
        <f t="shared" si="3"/>
        <v>2.205984952143679</v>
      </c>
      <c r="AL14" s="73">
        <f t="shared" si="4"/>
        <v>1.9902961057670672</v>
      </c>
      <c r="AM14" s="72"/>
      <c r="AN14" s="72"/>
      <c r="AO14" s="75">
        <f t="shared" si="5"/>
        <v>0.7501108058428942</v>
      </c>
      <c r="AP14" s="75">
        <f t="shared" si="5"/>
        <v>0.26169898309419015</v>
      </c>
      <c r="AQ14" s="75">
        <f t="shared" si="5"/>
        <v>0.07034148151777185</v>
      </c>
      <c r="AR14" s="140">
        <f t="shared" si="5"/>
        <v>0.9081448353122109</v>
      </c>
      <c r="AS14" s="76"/>
      <c r="AT14" s="84"/>
      <c r="AU14" s="77">
        <f>IF(ISERROR(AO14*100000000/'Calc-Units'!$E$21)," ",AO14*100000000/'Calc-Units'!$E$21)</f>
        <v>0.002835592874070166</v>
      </c>
      <c r="AV14" s="77">
        <f>IF(ISERROR(AP14*100000000/'Calc-Units'!$D$21)," ",AP14*100000000/'Calc-Units'!$D$21)</f>
        <v>0.00101178924927921</v>
      </c>
      <c r="AW14" s="77">
        <f>IF(ISERROR(AQ14*100000000/'Calc-Units'!$C$21)," ",AQ14*100000000/'Calc-Units'!$C$21)</f>
        <v>0.0004117389459012635</v>
      </c>
      <c r="AX14" s="231">
        <f>IF(ISERROR(AR14*100000000/'Calc-Units'!$C$21)," ",AR14*100000000/'Calc-Units'!$C$21)</f>
        <v>0.005315762323297887</v>
      </c>
      <c r="AZ14" s="82"/>
      <c r="BA14" s="82"/>
    </row>
    <row r="15" spans="1:53" s="85" customFormat="1" ht="12.75">
      <c r="A15" s="87"/>
      <c r="B15" s="86"/>
      <c r="C15" s="107" t="s">
        <v>577</v>
      </c>
      <c r="D15" s="120">
        <f>'RRP 1.3'!M$12</f>
        <v>23.39222530593641</v>
      </c>
      <c r="E15" s="120">
        <v>0</v>
      </c>
      <c r="F15" s="120">
        <v>0</v>
      </c>
      <c r="G15" s="120">
        <v>0</v>
      </c>
      <c r="H15" s="120">
        <v>0</v>
      </c>
      <c r="I15" s="120">
        <f t="shared" si="0"/>
        <v>23.39222530593641</v>
      </c>
      <c r="J15" s="112"/>
      <c r="K15" s="81"/>
      <c r="L15" s="120" t="s">
        <v>255</v>
      </c>
      <c r="M15" s="133">
        <f>IF(ISERROR(VLOOKUP($L15,'Calc-Drivers'!$B$17:$F$27,M$42,FALSE))," ",VLOOKUP($L15,'Calc-Drivers'!$B$17:$F$27,M$42,FALSE))</f>
        <v>0.37688402427627665</v>
      </c>
      <c r="N15" s="133">
        <f>IF(ISERROR(VLOOKUP($L15,'Calc-Drivers'!$B$17:$F$27,N$42,FALSE))," ",VLOOKUP($L15,'Calc-Drivers'!$B$17:$F$27,N$42,FALSE))</f>
        <v>0.13148746175802342</v>
      </c>
      <c r="O15" s="133">
        <f>IF(ISERROR(VLOOKUP($L15,'Calc-Drivers'!$B$17:$F$27,O$42,FALSE))," ",VLOOKUP($L15,'Calc-Drivers'!$B$17:$F$27,O$42,FALSE))</f>
        <v>0.03534221933809291</v>
      </c>
      <c r="P15" s="133">
        <f>IF(ISERROR(VLOOKUP($L15,'Calc-Drivers'!$B$17:$F$27,P$42,FALSE))," ",VLOOKUP($L15,'Calc-Drivers'!$B$17:$F$27,P$42,FALSE))</f>
        <v>0.456286294627607</v>
      </c>
      <c r="Q15" s="147"/>
      <c r="R15" s="74"/>
      <c r="S15" s="75">
        <f t="shared" si="1"/>
        <v>8.816156010078672</v>
      </c>
      <c r="T15" s="75">
        <f t="shared" si="1"/>
        <v>3.0757843303493817</v>
      </c>
      <c r="U15" s="75">
        <f t="shared" si="1"/>
        <v>0.8267331575684921</v>
      </c>
      <c r="V15" s="140">
        <f t="shared" si="1"/>
        <v>10.673551807939866</v>
      </c>
      <c r="W15" s="76"/>
      <c r="X15" s="82"/>
      <c r="Y15" s="75">
        <f t="shared" si="2"/>
        <v>8.816156010078672</v>
      </c>
      <c r="Z15" s="75">
        <f t="shared" si="2"/>
        <v>3.0757843303493817</v>
      </c>
      <c r="AA15" s="75">
        <f t="shared" si="2"/>
        <v>0.8267331575684921</v>
      </c>
      <c r="AB15" s="140">
        <f t="shared" si="2"/>
        <v>10.673551807939866</v>
      </c>
      <c r="AC15" s="83"/>
      <c r="AD15" s="83"/>
      <c r="AE15" s="77">
        <f>IF(ISERROR(Y15*100000000/'Calc-Units'!$E$21)," ",Y15*100000000/'Calc-Units'!$E$21)</f>
        <v>0.03332711509305443</v>
      </c>
      <c r="AF15" s="77">
        <f>IF(ISERROR(Z15*100000000/'Calc-Units'!$D$21)," ",Z15*100000000/'Calc-Units'!$D$21)</f>
        <v>0.011891698934989281</v>
      </c>
      <c r="AG15" s="77">
        <f>IF(ISERROR(AA15*100000000/'Calc-Units'!$C$21)," ",AA15*100000000/'Calc-Units'!$C$21)</f>
        <v>0.004839224757483564</v>
      </c>
      <c r="AH15" s="231">
        <f>IF(ISERROR(AB15*100000000/'Calc-Units'!$C$21)," ",AB15*100000000/'Calc-Units'!$C$21)</f>
        <v>0.06247688953371497</v>
      </c>
      <c r="AI15" s="84"/>
      <c r="AJ15" s="80">
        <v>0.5257</v>
      </c>
      <c r="AK15" s="72">
        <f t="shared" si="3"/>
        <v>12.29729284333077</v>
      </c>
      <c r="AL15" s="73">
        <f t="shared" si="4"/>
        <v>11.094932462605641</v>
      </c>
      <c r="AM15" s="72"/>
      <c r="AN15" s="72"/>
      <c r="AO15" s="75">
        <f t="shared" si="5"/>
        <v>4.181502795580315</v>
      </c>
      <c r="AP15" s="75">
        <f t="shared" si="5"/>
        <v>1.4588445078847119</v>
      </c>
      <c r="AQ15" s="75">
        <f t="shared" si="5"/>
        <v>0.39211953663473587</v>
      </c>
      <c r="AR15" s="140">
        <f t="shared" si="5"/>
        <v>5.062465622505879</v>
      </c>
      <c r="AS15" s="76"/>
      <c r="AT15" s="84"/>
      <c r="AU15" s="77">
        <f>IF(ISERROR(AO15*100000000/'Calc-Units'!$E$21)," ",AO15*100000000/'Calc-Units'!$E$21)</f>
        <v>0.01580705068863572</v>
      </c>
      <c r="AV15" s="77">
        <f>IF(ISERROR(AP15*100000000/'Calc-Units'!$D$21)," ",AP15*100000000/'Calc-Units'!$D$21)</f>
        <v>0.005640232804865418</v>
      </c>
      <c r="AW15" s="77">
        <f>IF(ISERROR(AQ15*100000000/'Calc-Units'!$C$21)," ",AQ15*100000000/'Calc-Units'!$C$21)</f>
        <v>0.002295244302474455</v>
      </c>
      <c r="AX15" s="231">
        <f>IF(ISERROR(AR15*100000000/'Calc-Units'!$C$21)," ",AR15*100000000/'Calc-Units'!$C$21)</f>
        <v>0.029632788705841018</v>
      </c>
      <c r="AZ15" s="82"/>
      <c r="BA15" s="82"/>
    </row>
    <row r="16" spans="1:53" s="85" customFormat="1" ht="12.75">
      <c r="A16" s="87"/>
      <c r="B16" s="86"/>
      <c r="C16" s="107" t="s">
        <v>578</v>
      </c>
      <c r="D16" s="120">
        <f>'RRP 1.3'!N$12</f>
        <v>3.9932671215815496</v>
      </c>
      <c r="E16" s="120">
        <v>0</v>
      </c>
      <c r="F16" s="120">
        <v>0</v>
      </c>
      <c r="G16" s="120">
        <v>0</v>
      </c>
      <c r="H16" s="120">
        <v>0</v>
      </c>
      <c r="I16" s="120">
        <f t="shared" si="0"/>
        <v>3.9932671215815496</v>
      </c>
      <c r="J16" s="112"/>
      <c r="K16" s="81"/>
      <c r="L16" s="120" t="s">
        <v>255</v>
      </c>
      <c r="M16" s="133">
        <f>IF(ISERROR(VLOOKUP($L16,'Calc-Drivers'!$B$17:$F$27,M$42,FALSE))," ",VLOOKUP($L16,'Calc-Drivers'!$B$17:$F$27,M$42,FALSE))</f>
        <v>0.37688402427627665</v>
      </c>
      <c r="N16" s="133">
        <f>IF(ISERROR(VLOOKUP($L16,'Calc-Drivers'!$B$17:$F$27,N$42,FALSE))," ",VLOOKUP($L16,'Calc-Drivers'!$B$17:$F$27,N$42,FALSE))</f>
        <v>0.13148746175802342</v>
      </c>
      <c r="O16" s="133">
        <f>IF(ISERROR(VLOOKUP($L16,'Calc-Drivers'!$B$17:$F$27,O$42,FALSE))," ",VLOOKUP($L16,'Calc-Drivers'!$B$17:$F$27,O$42,FALSE))</f>
        <v>0.03534221933809291</v>
      </c>
      <c r="P16" s="133">
        <f>IF(ISERROR(VLOOKUP($L16,'Calc-Drivers'!$B$17:$F$27,P$42,FALSE))," ",VLOOKUP($L16,'Calc-Drivers'!$B$17:$F$27,P$42,FALSE))</f>
        <v>0.456286294627607</v>
      </c>
      <c r="Q16" s="147"/>
      <c r="R16" s="74"/>
      <c r="S16" s="75">
        <f t="shared" si="1"/>
        <v>1.5049985827917982</v>
      </c>
      <c r="T16" s="75">
        <f t="shared" si="1"/>
        <v>0.5250645579385262</v>
      </c>
      <c r="U16" s="75">
        <f t="shared" si="1"/>
        <v>0.14113092248653006</v>
      </c>
      <c r="V16" s="140">
        <f t="shared" si="1"/>
        <v>1.8220730583646951</v>
      </c>
      <c r="W16" s="76"/>
      <c r="X16" s="82"/>
      <c r="Y16" s="75">
        <f t="shared" si="2"/>
        <v>1.5049985827917982</v>
      </c>
      <c r="Z16" s="75">
        <f t="shared" si="2"/>
        <v>0.5250645579385262</v>
      </c>
      <c r="AA16" s="75">
        <f t="shared" si="2"/>
        <v>0.14113092248653006</v>
      </c>
      <c r="AB16" s="140">
        <f t="shared" si="2"/>
        <v>1.8220730583646951</v>
      </c>
      <c r="AC16" s="83"/>
      <c r="AD16" s="83"/>
      <c r="AE16" s="77">
        <f>IF(ISERROR(Y16*100000000/'Calc-Units'!$E$21)," ",Y16*100000000/'Calc-Units'!$E$21)</f>
        <v>0.005689243807192846</v>
      </c>
      <c r="AF16" s="77">
        <f>IF(ISERROR(Z16*100000000/'Calc-Units'!$D$21)," ",Z16*100000000/'Calc-Units'!$D$21)</f>
        <v>0.002030021930610765</v>
      </c>
      <c r="AG16" s="77">
        <f>IF(ISERROR(AA16*100000000/'Calc-Units'!$C$21)," ",AA16*100000000/'Calc-Units'!$C$21)</f>
        <v>0.0008260999911410095</v>
      </c>
      <c r="AH16" s="231">
        <f>IF(ISERROR(AB16*100000000/'Calc-Units'!$C$21)," ",AB16*100000000/'Calc-Units'!$C$21)</f>
        <v>0.01066537730253275</v>
      </c>
      <c r="AI16" s="84"/>
      <c r="AJ16" s="80">
        <v>0.5257</v>
      </c>
      <c r="AK16" s="72">
        <f t="shared" si="3"/>
        <v>2.09926052581542</v>
      </c>
      <c r="AL16" s="73">
        <f t="shared" si="4"/>
        <v>1.8940065957661292</v>
      </c>
      <c r="AM16" s="72"/>
      <c r="AN16" s="72"/>
      <c r="AO16" s="75">
        <f t="shared" si="5"/>
        <v>0.7138208278181499</v>
      </c>
      <c r="AP16" s="75">
        <f t="shared" si="5"/>
        <v>0.24903811983024302</v>
      </c>
      <c r="AQ16" s="75">
        <f t="shared" si="5"/>
        <v>0.06693839653536121</v>
      </c>
      <c r="AR16" s="140">
        <f t="shared" si="5"/>
        <v>0.864209251582375</v>
      </c>
      <c r="AS16" s="76"/>
      <c r="AT16" s="84"/>
      <c r="AU16" s="77">
        <f>IF(ISERROR(AO16*100000000/'Calc-Units'!$E$21)," ",AO16*100000000/'Calc-Units'!$E$21)</f>
        <v>0.002698408337751567</v>
      </c>
      <c r="AV16" s="77">
        <f>IF(ISERROR(AP16*100000000/'Calc-Units'!$D$21)," ",AP16*100000000/'Calc-Units'!$D$21)</f>
        <v>0.000962839401688686</v>
      </c>
      <c r="AW16" s="77">
        <f>IF(ISERROR(AQ16*100000000/'Calc-Units'!$C$21)," ",AQ16*100000000/'Calc-Units'!$C$21)</f>
        <v>0.00039181922579818084</v>
      </c>
      <c r="AX16" s="231">
        <f>IF(ISERROR(AR16*100000000/'Calc-Units'!$C$21)," ",AR16*100000000/'Calc-Units'!$C$21)</f>
        <v>0.005058588454591284</v>
      </c>
      <c r="AZ16" s="82"/>
      <c r="BA16" s="82"/>
    </row>
    <row r="17" spans="1:53" s="85" customFormat="1" ht="12.75">
      <c r="A17" s="87"/>
      <c r="B17" s="86"/>
      <c r="C17" s="107" t="s">
        <v>579</v>
      </c>
      <c r="D17" s="120">
        <f>'RRP 1.3'!O$12</f>
        <v>1.8430952204672004</v>
      </c>
      <c r="E17" s="120">
        <v>0</v>
      </c>
      <c r="F17" s="120">
        <v>0</v>
      </c>
      <c r="G17" s="120">
        <v>0</v>
      </c>
      <c r="H17" s="120">
        <v>0</v>
      </c>
      <c r="I17" s="120">
        <f t="shared" si="0"/>
        <v>1.8430952204672004</v>
      </c>
      <c r="J17" s="112"/>
      <c r="K17" s="81"/>
      <c r="L17" s="120" t="s">
        <v>255</v>
      </c>
      <c r="M17" s="133">
        <f>IF(ISERROR(VLOOKUP($L17,'Calc-Drivers'!$B$17:$F$27,M$42,FALSE))," ",VLOOKUP($L17,'Calc-Drivers'!$B$17:$F$27,M$42,FALSE))</f>
        <v>0.37688402427627665</v>
      </c>
      <c r="N17" s="133">
        <f>IF(ISERROR(VLOOKUP($L17,'Calc-Drivers'!$B$17:$F$27,N$42,FALSE))," ",VLOOKUP($L17,'Calc-Drivers'!$B$17:$F$27,N$42,FALSE))</f>
        <v>0.13148746175802342</v>
      </c>
      <c r="O17" s="133">
        <f>IF(ISERROR(VLOOKUP($L17,'Calc-Drivers'!$B$17:$F$27,O$42,FALSE))," ",VLOOKUP($L17,'Calc-Drivers'!$B$17:$F$27,O$42,FALSE))</f>
        <v>0.03534221933809291</v>
      </c>
      <c r="P17" s="133">
        <f>IF(ISERROR(VLOOKUP($L17,'Calc-Drivers'!$B$17:$F$27,P$42,FALSE))," ",VLOOKUP($L17,'Calc-Drivers'!$B$17:$F$27,P$42,FALSE))</f>
        <v>0.456286294627607</v>
      </c>
      <c r="Q17" s="147"/>
      <c r="R17" s="74"/>
      <c r="S17" s="75">
        <f t="shared" si="1"/>
        <v>0.6946331438140498</v>
      </c>
      <c r="T17" s="75">
        <f t="shared" si="1"/>
        <v>0.24234391231757677</v>
      </c>
      <c r="U17" s="75">
        <f t="shared" si="1"/>
        <v>0.06513907554274251</v>
      </c>
      <c r="V17" s="140">
        <f t="shared" si="1"/>
        <v>0.8409790887928313</v>
      </c>
      <c r="W17" s="76"/>
      <c r="X17" s="82"/>
      <c r="Y17" s="75">
        <f t="shared" si="2"/>
        <v>0.6946331438140498</v>
      </c>
      <c r="Z17" s="75">
        <f t="shared" si="2"/>
        <v>0.24234391231757677</v>
      </c>
      <c r="AA17" s="75">
        <f t="shared" si="2"/>
        <v>0.06513907554274251</v>
      </c>
      <c r="AB17" s="140">
        <f t="shared" si="2"/>
        <v>0.8409790887928313</v>
      </c>
      <c r="AC17" s="83"/>
      <c r="AD17" s="83"/>
      <c r="AE17" s="77">
        <f>IF(ISERROR(Y17*100000000/'Calc-Units'!$E$21)," ",Y17*100000000/'Calc-Units'!$E$21)</f>
        <v>0.0026258744406151328</v>
      </c>
      <c r="AF17" s="77">
        <f>IF(ISERROR(Z17*100000000/'Calc-Units'!$D$21)," ",Z17*100000000/'Calc-Units'!$D$21)</f>
        <v>0.0009369580355722496</v>
      </c>
      <c r="AG17" s="77">
        <f>IF(ISERROR(AA17*100000000/'Calc-Units'!$C$21)," ",AA17*100000000/'Calc-Units'!$C$21)</f>
        <v>0.00038128702612235136</v>
      </c>
      <c r="AH17" s="231">
        <f>IF(ISERROR(AB17*100000000/'Calc-Units'!$C$21)," ",AB17*100000000/'Calc-Units'!$C$21)</f>
        <v>0.004922612320257734</v>
      </c>
      <c r="AI17" s="84"/>
      <c r="AJ17" s="80">
        <v>0.5257</v>
      </c>
      <c r="AK17" s="72">
        <f t="shared" si="3"/>
        <v>0.9689151573996072</v>
      </c>
      <c r="AL17" s="73">
        <f t="shared" si="4"/>
        <v>0.8741800630675932</v>
      </c>
      <c r="AM17" s="72"/>
      <c r="AN17" s="72"/>
      <c r="AO17" s="75">
        <f t="shared" si="5"/>
        <v>0.32946450011100387</v>
      </c>
      <c r="AP17" s="75">
        <f t="shared" si="5"/>
        <v>0.11494371761222667</v>
      </c>
      <c r="AQ17" s="75">
        <f t="shared" si="5"/>
        <v>0.030895463529922774</v>
      </c>
      <c r="AR17" s="140">
        <f t="shared" si="5"/>
        <v>0.39887638181443996</v>
      </c>
      <c r="AS17" s="76"/>
      <c r="AT17" s="84"/>
      <c r="AU17" s="77">
        <f>IF(ISERROR(AO17*100000000/'Calc-Units'!$E$21)," ",AO17*100000000/'Calc-Units'!$E$21)</f>
        <v>0.0012454522471837576</v>
      </c>
      <c r="AV17" s="77">
        <f>IF(ISERROR(AP17*100000000/'Calc-Units'!$D$21)," ",AP17*100000000/'Calc-Units'!$D$21)</f>
        <v>0.000444399196271918</v>
      </c>
      <c r="AW17" s="77">
        <f>IF(ISERROR(AQ17*100000000/'Calc-Units'!$C$21)," ",AQ17*100000000/'Calc-Units'!$C$21)</f>
        <v>0.00018084443648983128</v>
      </c>
      <c r="AX17" s="231">
        <f>IF(ISERROR(AR17*100000000/'Calc-Units'!$C$21)," ",AR17*100000000/'Calc-Units'!$C$21)</f>
        <v>0.002334795023498244</v>
      </c>
      <c r="AZ17" s="82"/>
      <c r="BA17" s="82"/>
    </row>
    <row r="18" spans="1:53" s="85" customFormat="1" ht="12.75">
      <c r="A18" s="87"/>
      <c r="B18" s="86"/>
      <c r="C18" s="107" t="s">
        <v>800</v>
      </c>
      <c r="D18" s="120">
        <f>'RRP 1.3'!P$12</f>
        <v>1.4394826722359997</v>
      </c>
      <c r="E18" s="120">
        <v>0</v>
      </c>
      <c r="F18" s="120">
        <v>0</v>
      </c>
      <c r="G18" s="120">
        <v>0</v>
      </c>
      <c r="H18" s="120">
        <v>0</v>
      </c>
      <c r="I18" s="120">
        <f t="shared" si="0"/>
        <v>1.4394826722359997</v>
      </c>
      <c r="J18" s="112"/>
      <c r="K18" s="81"/>
      <c r="L18" s="120" t="s">
        <v>255</v>
      </c>
      <c r="M18" s="133">
        <f>IF(ISERROR(VLOOKUP($L18,'Calc-Drivers'!$B$17:$F$27,M$42,FALSE))," ",VLOOKUP($L18,'Calc-Drivers'!$B$17:$F$27,M$42,FALSE))</f>
        <v>0.37688402427627665</v>
      </c>
      <c r="N18" s="133">
        <f>IF(ISERROR(VLOOKUP($L18,'Calc-Drivers'!$B$17:$F$27,N$42,FALSE))," ",VLOOKUP($L18,'Calc-Drivers'!$B$17:$F$27,N$42,FALSE))</f>
        <v>0.13148746175802342</v>
      </c>
      <c r="O18" s="133">
        <f>IF(ISERROR(VLOOKUP($L18,'Calc-Drivers'!$B$17:$F$27,O$42,FALSE))," ",VLOOKUP($L18,'Calc-Drivers'!$B$17:$F$27,O$42,FALSE))</f>
        <v>0.03534221933809291</v>
      </c>
      <c r="P18" s="133">
        <f>IF(ISERROR(VLOOKUP($L18,'Calc-Drivers'!$B$17:$F$27,P$42,FALSE))," ",VLOOKUP($L18,'Calc-Drivers'!$B$17:$F$27,P$42,FALSE))</f>
        <v>0.456286294627607</v>
      </c>
      <c r="Q18" s="147"/>
      <c r="R18" s="74"/>
      <c r="S18" s="75">
        <f t="shared" si="1"/>
        <v>0.5425180223882721</v>
      </c>
      <c r="T18" s="75">
        <f t="shared" si="1"/>
        <v>0.18927392281696837</v>
      </c>
      <c r="U18" s="75">
        <f t="shared" si="1"/>
        <v>0.05087451233554881</v>
      </c>
      <c r="V18" s="140">
        <f t="shared" si="1"/>
        <v>0.6568162146952103</v>
      </c>
      <c r="W18" s="76"/>
      <c r="X18" s="82"/>
      <c r="Y18" s="75">
        <f t="shared" si="2"/>
        <v>0.5425180223882721</v>
      </c>
      <c r="Z18" s="75">
        <f t="shared" si="2"/>
        <v>0.18927392281696837</v>
      </c>
      <c r="AA18" s="75">
        <f t="shared" si="2"/>
        <v>0.05087451233554881</v>
      </c>
      <c r="AB18" s="140">
        <f t="shared" si="2"/>
        <v>0.6568162146952103</v>
      </c>
      <c r="AC18" s="83"/>
      <c r="AD18" s="83"/>
      <c r="AE18" s="77">
        <f>IF(ISERROR(Y18*100000000/'Calc-Units'!$E$21)," ",Y18*100000000/'Calc-Units'!$E$21)</f>
        <v>0.0020508439904557544</v>
      </c>
      <c r="AF18" s="77">
        <f>IF(ISERROR(Z18*100000000/'Calc-Units'!$D$21)," ",Z18*100000000/'Calc-Units'!$D$21)</f>
        <v>0.0007317770898872213</v>
      </c>
      <c r="AG18" s="77">
        <f>IF(ISERROR(AA18*100000000/'Calc-Units'!$C$21)," ",AA18*100000000/'Calc-Units'!$C$21)</f>
        <v>0.00029779040233873105</v>
      </c>
      <c r="AH18" s="231">
        <f>IF(ISERROR(AB18*100000000/'Calc-Units'!$C$21)," ",AB18*100000000/'Calc-Units'!$C$21)</f>
        <v>0.003844627807862388</v>
      </c>
      <c r="AI18" s="84"/>
      <c r="AJ18" s="80">
        <v>0.5257</v>
      </c>
      <c r="AK18" s="72">
        <f t="shared" si="3"/>
        <v>0.756736040794465</v>
      </c>
      <c r="AL18" s="73">
        <f t="shared" si="4"/>
        <v>0.6827466314415347</v>
      </c>
      <c r="AM18" s="72"/>
      <c r="AN18" s="72"/>
      <c r="AO18" s="75">
        <f t="shared" si="5"/>
        <v>0.2573162980187575</v>
      </c>
      <c r="AP18" s="75">
        <f t="shared" si="5"/>
        <v>0.08977262159208811</v>
      </c>
      <c r="AQ18" s="75">
        <f t="shared" si="5"/>
        <v>0.0241297812007508</v>
      </c>
      <c r="AR18" s="140">
        <f t="shared" si="5"/>
        <v>0.3115279306299383</v>
      </c>
      <c r="AS18" s="76"/>
      <c r="AT18" s="84"/>
      <c r="AU18" s="77">
        <f>IF(ISERROR(AO18*100000000/'Calc-Units'!$E$21)," ",AO18*100000000/'Calc-Units'!$E$21)</f>
        <v>0.0009727153046731645</v>
      </c>
      <c r="AV18" s="77">
        <f>IF(ISERROR(AP18*100000000/'Calc-Units'!$D$21)," ",AP18*100000000/'Calc-Units'!$D$21)</f>
        <v>0.00034708187373350916</v>
      </c>
      <c r="AW18" s="77">
        <f>IF(ISERROR(AQ18*100000000/'Calc-Units'!$C$21)," ",AQ18*100000000/'Calc-Units'!$C$21)</f>
        <v>0.00014124198782926013</v>
      </c>
      <c r="AX18" s="231">
        <f>IF(ISERROR(AR18*100000000/'Calc-Units'!$C$21)," ",AR18*100000000/'Calc-Units'!$C$21)</f>
        <v>0.0018235069692691306</v>
      </c>
      <c r="AZ18" s="82"/>
      <c r="BA18" s="82"/>
    </row>
    <row r="19" spans="1:53" s="85" customFormat="1" ht="12.75">
      <c r="A19" s="87"/>
      <c r="B19" s="86"/>
      <c r="C19" s="107" t="s">
        <v>801</v>
      </c>
      <c r="D19" s="120">
        <f>'RRP 1.3'!Q$12</f>
        <v>1.3630810727301883</v>
      </c>
      <c r="E19" s="120">
        <v>0</v>
      </c>
      <c r="F19" s="120">
        <v>0</v>
      </c>
      <c r="G19" s="120">
        <v>0</v>
      </c>
      <c r="H19" s="120">
        <v>0</v>
      </c>
      <c r="I19" s="120">
        <f t="shared" si="0"/>
        <v>1.3630810727301883</v>
      </c>
      <c r="J19" s="112"/>
      <c r="K19" s="81"/>
      <c r="L19" s="120" t="s">
        <v>255</v>
      </c>
      <c r="M19" s="133">
        <f>IF(ISERROR(VLOOKUP($L19,'Calc-Drivers'!$B$17:$F$27,M$42,FALSE))," ",VLOOKUP($L19,'Calc-Drivers'!$B$17:$F$27,M$42,FALSE))</f>
        <v>0.37688402427627665</v>
      </c>
      <c r="N19" s="133">
        <f>IF(ISERROR(VLOOKUP($L19,'Calc-Drivers'!$B$17:$F$27,N$42,FALSE))," ",VLOOKUP($L19,'Calc-Drivers'!$B$17:$F$27,N$42,FALSE))</f>
        <v>0.13148746175802342</v>
      </c>
      <c r="O19" s="133">
        <f>IF(ISERROR(VLOOKUP($L19,'Calc-Drivers'!$B$17:$F$27,O$42,FALSE))," ",VLOOKUP($L19,'Calc-Drivers'!$B$17:$F$27,O$42,FALSE))</f>
        <v>0.03534221933809291</v>
      </c>
      <c r="P19" s="133">
        <f>IF(ISERROR(VLOOKUP($L19,'Calc-Drivers'!$B$17:$F$27,P$42,FALSE))," ",VLOOKUP($L19,'Calc-Drivers'!$B$17:$F$27,P$42,FALSE))</f>
        <v>0.456286294627607</v>
      </c>
      <c r="Q19" s="147"/>
      <c r="R19" s="74"/>
      <c r="S19" s="75">
        <f t="shared" si="1"/>
        <v>0.5137234801053775</v>
      </c>
      <c r="T19" s="75">
        <f t="shared" si="1"/>
        <v>0.17922807042369618</v>
      </c>
      <c r="U19" s="75">
        <f t="shared" si="1"/>
        <v>0.048174310248033286</v>
      </c>
      <c r="V19" s="140">
        <f t="shared" si="1"/>
        <v>0.6219552119530813</v>
      </c>
      <c r="W19" s="76"/>
      <c r="X19" s="82"/>
      <c r="Y19" s="75">
        <f t="shared" si="2"/>
        <v>0.5137234801053775</v>
      </c>
      <c r="Z19" s="75">
        <f t="shared" si="2"/>
        <v>0.17922807042369618</v>
      </c>
      <c r="AA19" s="75">
        <f t="shared" si="2"/>
        <v>0.048174310248033286</v>
      </c>
      <c r="AB19" s="140">
        <f t="shared" si="2"/>
        <v>0.6219552119530813</v>
      </c>
      <c r="AC19" s="83"/>
      <c r="AD19" s="83"/>
      <c r="AE19" s="77">
        <f>IF(ISERROR(Y19*100000000/'Calc-Units'!$E$21)," ",Y19*100000000/'Calc-Units'!$E$21)</f>
        <v>0.0019419939402051934</v>
      </c>
      <c r="AF19" s="77">
        <f>IF(ISERROR(Z19*100000000/'Calc-Units'!$D$21)," ",Z19*100000000/'Calc-Units'!$D$21)</f>
        <v>0.0006929374836679632</v>
      </c>
      <c r="AG19" s="77">
        <f>IF(ISERROR(AA19*100000000/'Calc-Units'!$C$21)," ",AA19*100000000/'Calc-Units'!$C$21)</f>
        <v>0.0002819849581364627</v>
      </c>
      <c r="AH19" s="231">
        <f>IF(ISERROR(AB19*100000000/'Calc-Units'!$C$21)," ",AB19*100000000/'Calc-Units'!$C$21)</f>
        <v>0.0036405713647452665</v>
      </c>
      <c r="AI19" s="84"/>
      <c r="AJ19" s="80">
        <v>0.5257</v>
      </c>
      <c r="AK19" s="72">
        <f t="shared" si="3"/>
        <v>0.7165717199342599</v>
      </c>
      <c r="AL19" s="73">
        <f t="shared" si="4"/>
        <v>0.6465093527959284</v>
      </c>
      <c r="AM19" s="72"/>
      <c r="AN19" s="72"/>
      <c r="AO19" s="75">
        <f t="shared" si="5"/>
        <v>0.24365904661398058</v>
      </c>
      <c r="AP19" s="75">
        <f t="shared" si="5"/>
        <v>0.08500787380195911</v>
      </c>
      <c r="AQ19" s="75">
        <f t="shared" si="5"/>
        <v>0.02284907535064219</v>
      </c>
      <c r="AR19" s="140">
        <f t="shared" si="5"/>
        <v>0.29499335702934654</v>
      </c>
      <c r="AS19" s="76"/>
      <c r="AT19" s="84"/>
      <c r="AU19" s="77">
        <f>IF(ISERROR(AO19*100000000/'Calc-Units'!$E$21)," ",AO19*100000000/'Calc-Units'!$E$21)</f>
        <v>0.0009210877258393233</v>
      </c>
      <c r="AV19" s="77">
        <f>IF(ISERROR(AP19*100000000/'Calc-Units'!$D$21)," ",AP19*100000000/'Calc-Units'!$D$21)</f>
        <v>0.000328660248503715</v>
      </c>
      <c r="AW19" s="77">
        <f>IF(ISERROR(AQ19*100000000/'Calc-Units'!$C$21)," ",AQ19*100000000/'Calc-Units'!$C$21)</f>
        <v>0.00013374546564412428</v>
      </c>
      <c r="AX19" s="231">
        <f>IF(ISERROR(AR19*100000000/'Calc-Units'!$C$21)," ",AR19*100000000/'Calc-Units'!$C$21)</f>
        <v>0.0017267229982986802</v>
      </c>
      <c r="AZ19" s="82"/>
      <c r="BA19" s="82"/>
    </row>
    <row r="20" spans="1:53" s="85" customFormat="1" ht="12.75">
      <c r="A20" s="87"/>
      <c r="B20" s="86"/>
      <c r="C20" s="107" t="s">
        <v>429</v>
      </c>
      <c r="D20" s="120">
        <f>'RRP 1.3'!R$12</f>
        <v>5.439945994520001</v>
      </c>
      <c r="E20" s="120">
        <v>0</v>
      </c>
      <c r="F20" s="120">
        <v>0</v>
      </c>
      <c r="G20" s="120">
        <v>0</v>
      </c>
      <c r="H20" s="120">
        <v>0</v>
      </c>
      <c r="I20" s="120">
        <f t="shared" si="0"/>
        <v>5.439945994520001</v>
      </c>
      <c r="J20" s="112"/>
      <c r="K20" s="81"/>
      <c r="L20" s="120" t="s">
        <v>255</v>
      </c>
      <c r="M20" s="133">
        <f>IF(ISERROR(VLOOKUP($L20,'Calc-Drivers'!$B$17:$F$27,M$42,FALSE))," ",VLOOKUP($L20,'Calc-Drivers'!$B$17:$F$27,M$42,FALSE))</f>
        <v>0.37688402427627665</v>
      </c>
      <c r="N20" s="133">
        <f>IF(ISERROR(VLOOKUP($L20,'Calc-Drivers'!$B$17:$F$27,N$42,FALSE))," ",VLOOKUP($L20,'Calc-Drivers'!$B$17:$F$27,N$42,FALSE))</f>
        <v>0.13148746175802342</v>
      </c>
      <c r="O20" s="133">
        <f>IF(ISERROR(VLOOKUP($L20,'Calc-Drivers'!$B$17:$F$27,O$42,FALSE))," ",VLOOKUP($L20,'Calc-Drivers'!$B$17:$F$27,O$42,FALSE))</f>
        <v>0.03534221933809291</v>
      </c>
      <c r="P20" s="133">
        <f>IF(ISERROR(VLOOKUP($L20,'Calc-Drivers'!$B$17:$F$27,P$42,FALSE))," ",VLOOKUP($L20,'Calc-Drivers'!$B$17:$F$27,P$42,FALSE))</f>
        <v>0.456286294627607</v>
      </c>
      <c r="Q20" s="147"/>
      <c r="R20" s="74"/>
      <c r="S20" s="75">
        <f t="shared" si="1"/>
        <v>2.05022873826031</v>
      </c>
      <c r="T20" s="75">
        <f t="shared" si="1"/>
        <v>0.7152846909201613</v>
      </c>
      <c r="U20" s="75">
        <f t="shared" si="1"/>
        <v>0.19225976452570584</v>
      </c>
      <c r="V20" s="140">
        <f t="shared" si="1"/>
        <v>2.482172800813824</v>
      </c>
      <c r="W20" s="76"/>
      <c r="X20" s="82"/>
      <c r="Y20" s="75">
        <f t="shared" si="2"/>
        <v>2.05022873826031</v>
      </c>
      <c r="Z20" s="75">
        <f t="shared" si="2"/>
        <v>0.7152846909201613</v>
      </c>
      <c r="AA20" s="75">
        <f t="shared" si="2"/>
        <v>0.19225976452570584</v>
      </c>
      <c r="AB20" s="140">
        <f t="shared" si="2"/>
        <v>2.482172800813824</v>
      </c>
      <c r="AC20" s="83"/>
      <c r="AD20" s="83"/>
      <c r="AE20" s="77">
        <f>IF(ISERROR(Y20*100000000/'Calc-Units'!$E$21)," ",Y20*100000000/'Calc-Units'!$E$21)</f>
        <v>0.007750340289915014</v>
      </c>
      <c r="AF20" s="77">
        <f>IF(ISERROR(Z20*100000000/'Calc-Units'!$D$21)," ",Z20*100000000/'Calc-Units'!$D$21)</f>
        <v>0.002765457289478817</v>
      </c>
      <c r="AG20" s="77">
        <f>IF(ISERROR(AA20*100000000/'Calc-Units'!$C$21)," ",AA20*100000000/'Calc-Units'!$C$21)</f>
        <v>0.0011253790946248294</v>
      </c>
      <c r="AH20" s="231">
        <f>IF(ISERROR(AB20*100000000/'Calc-Units'!$C$21)," ",AB20*100000000/'Calc-Units'!$C$21)</f>
        <v>0.014529225010617092</v>
      </c>
      <c r="AI20" s="84"/>
      <c r="AJ20" s="80">
        <v>0.5257</v>
      </c>
      <c r="AK20" s="72">
        <f t="shared" si="3"/>
        <v>2.8597796093191645</v>
      </c>
      <c r="AL20" s="73">
        <f t="shared" si="4"/>
        <v>2.5801663852008367</v>
      </c>
      <c r="AM20" s="72"/>
      <c r="AN20" s="72"/>
      <c r="AO20" s="75">
        <f t="shared" si="5"/>
        <v>0.9724234905568652</v>
      </c>
      <c r="AP20" s="75">
        <f t="shared" si="5"/>
        <v>0.3392595289034326</v>
      </c>
      <c r="AQ20" s="75">
        <f t="shared" si="5"/>
        <v>0.09118880631454229</v>
      </c>
      <c r="AR20" s="140">
        <f t="shared" si="5"/>
        <v>1.177294559425997</v>
      </c>
      <c r="AS20" s="76"/>
      <c r="AT20" s="84"/>
      <c r="AU20" s="77">
        <f>IF(ISERROR(AO20*100000000/'Calc-Units'!$E$21)," ",AO20*100000000/'Calc-Units'!$E$21)</f>
        <v>0.003675986399506692</v>
      </c>
      <c r="AV20" s="77">
        <f>IF(ISERROR(AP20*100000000/'Calc-Units'!$D$21)," ",AP20*100000000/'Calc-Units'!$D$21)</f>
        <v>0.0013116563923998032</v>
      </c>
      <c r="AW20" s="77">
        <f>IF(ISERROR(AQ20*100000000/'Calc-Units'!$C$21)," ",AQ20*100000000/'Calc-Units'!$C$21)</f>
        <v>0.0005337673045805566</v>
      </c>
      <c r="AX20" s="231">
        <f>IF(ISERROR(AR20*100000000/'Calc-Units'!$C$21)," ",AR20*100000000/'Calc-Units'!$C$21)</f>
        <v>0.006891211422535688</v>
      </c>
      <c r="AZ20" s="82"/>
      <c r="BA20" s="82"/>
    </row>
    <row r="21" spans="1:53" s="85" customFormat="1" ht="12.75">
      <c r="A21" s="87"/>
      <c r="B21" s="86"/>
      <c r="C21" s="107" t="s">
        <v>297</v>
      </c>
      <c r="D21" s="120">
        <f>'RRP 1.3'!S$12</f>
        <v>11.413705956353251</v>
      </c>
      <c r="E21" s="120">
        <v>0</v>
      </c>
      <c r="F21" s="120">
        <v>0</v>
      </c>
      <c r="G21" s="120">
        <v>0</v>
      </c>
      <c r="H21" s="120">
        <v>0</v>
      </c>
      <c r="I21" s="120">
        <f t="shared" si="0"/>
        <v>11.413705956353251</v>
      </c>
      <c r="J21" s="112"/>
      <c r="K21" s="81"/>
      <c r="L21" s="120" t="s">
        <v>237</v>
      </c>
      <c r="M21" s="133" t="str">
        <f>IF(ISERROR(VLOOKUP($L21,'Calc-Drivers'!$B$17:$F$27,M$42,FALSE))," ",VLOOKUP($L21,'Calc-Drivers'!$B$17:$F$27,M$42,FALSE))</f>
        <v> </v>
      </c>
      <c r="N21" s="133" t="str">
        <f>IF(ISERROR(VLOOKUP($L21,'Calc-Drivers'!$B$17:$F$27,N$42,FALSE))," ",VLOOKUP($L21,'Calc-Drivers'!$B$17:$F$27,N$42,FALSE))</f>
        <v> </v>
      </c>
      <c r="O21" s="133" t="str">
        <f>IF(ISERROR(VLOOKUP($L21,'Calc-Drivers'!$B$17:$F$27,O$42,FALSE))," ",VLOOKUP($L21,'Calc-Drivers'!$B$17:$F$27,O$42,FALSE))</f>
        <v> </v>
      </c>
      <c r="P21" s="133" t="str">
        <f>IF(ISERROR(VLOOKUP($L21,'Calc-Drivers'!$B$17:$F$27,P$42,FALSE))," ",VLOOKUP($L21,'Calc-Drivers'!$B$17:$F$27,P$42,FALSE))</f>
        <v> </v>
      </c>
      <c r="Q21" s="147"/>
      <c r="R21" s="74"/>
      <c r="S21" s="75" t="str">
        <f t="shared" si="1"/>
        <v> </v>
      </c>
      <c r="T21" s="75" t="str">
        <f t="shared" si="1"/>
        <v> </v>
      </c>
      <c r="U21" s="75" t="str">
        <f t="shared" si="1"/>
        <v> </v>
      </c>
      <c r="V21" s="140" t="str">
        <f t="shared" si="1"/>
        <v> </v>
      </c>
      <c r="W21" s="76"/>
      <c r="X21" s="82"/>
      <c r="Y21" s="75" t="str">
        <f t="shared" si="2"/>
        <v> </v>
      </c>
      <c r="Z21" s="75" t="str">
        <f t="shared" si="2"/>
        <v> </v>
      </c>
      <c r="AA21" s="75" t="str">
        <f t="shared" si="2"/>
        <v> </v>
      </c>
      <c r="AB21" s="140" t="str">
        <f t="shared" si="2"/>
        <v> </v>
      </c>
      <c r="AC21" s="83"/>
      <c r="AD21" s="83"/>
      <c r="AE21" s="77" t="str">
        <f>IF(ISERROR(Y21*100000000/'Calc-Units'!$E$21)," ",Y21*100000000/'Calc-Units'!$E$21)</f>
        <v> </v>
      </c>
      <c r="AF21" s="77" t="str">
        <f>IF(ISERROR(Z21*100000000/'Calc-Units'!$D$21)," ",Z21*100000000/'Calc-Units'!$D$21)</f>
        <v> </v>
      </c>
      <c r="AG21" s="77" t="str">
        <f>IF(ISERROR(AA21*100000000/'Calc-Units'!$C$21)," ",AA21*100000000/'Calc-Units'!$C$21)</f>
        <v> </v>
      </c>
      <c r="AH21" s="231" t="str">
        <f>IF(ISERROR(AB21*100000000/'Calc-Units'!$C$21)," ",AB21*100000000/'Calc-Units'!$C$21)</f>
        <v> </v>
      </c>
      <c r="AI21" s="84"/>
      <c r="AJ21" s="80">
        <v>0.5257</v>
      </c>
      <c r="AK21" s="72">
        <f t="shared" si="3"/>
        <v>6.000185221254903</v>
      </c>
      <c r="AL21" s="73">
        <f t="shared" si="4"/>
        <v>5.413520735098348</v>
      </c>
      <c r="AM21" s="72"/>
      <c r="AN21" s="72"/>
      <c r="AO21" s="75" t="str">
        <f t="shared" si="5"/>
        <v> </v>
      </c>
      <c r="AP21" s="75" t="str">
        <f t="shared" si="5"/>
        <v> </v>
      </c>
      <c r="AQ21" s="75" t="str">
        <f t="shared" si="5"/>
        <v> </v>
      </c>
      <c r="AR21" s="140" t="str">
        <f t="shared" si="5"/>
        <v> </v>
      </c>
      <c r="AS21" s="76"/>
      <c r="AT21" s="84"/>
      <c r="AU21" s="77" t="str">
        <f>IF(ISERROR(AO21*100000000/'Calc-Units'!$E$21)," ",AO21*100000000/'Calc-Units'!$E$21)</f>
        <v> </v>
      </c>
      <c r="AV21" s="77" t="str">
        <f>IF(ISERROR(AP21*100000000/'Calc-Units'!$D$21)," ",AP21*100000000/'Calc-Units'!$D$21)</f>
        <v> </v>
      </c>
      <c r="AW21" s="77" t="str">
        <f>IF(ISERROR(AQ21*100000000/'Calc-Units'!$C$21)," ",AQ21*100000000/'Calc-Units'!$C$21)</f>
        <v> </v>
      </c>
      <c r="AX21" s="231" t="str">
        <f>IF(ISERROR(AR21*100000000/'Calc-Units'!$C$21)," ",AR21*100000000/'Calc-Units'!$C$21)</f>
        <v> </v>
      </c>
      <c r="AZ21" s="82"/>
      <c r="BA21" s="82"/>
    </row>
    <row r="22" spans="1:53" s="85" customFormat="1" ht="12.75">
      <c r="A22" s="87"/>
      <c r="B22" s="86"/>
      <c r="C22" s="107" t="s">
        <v>428</v>
      </c>
      <c r="D22" s="120">
        <f>'RRP 1.3'!T$12</f>
        <v>5.5343552999991585</v>
      </c>
      <c r="E22" s="120">
        <v>0</v>
      </c>
      <c r="F22" s="120">
        <v>0</v>
      </c>
      <c r="G22" s="120">
        <v>0</v>
      </c>
      <c r="H22" s="120">
        <v>0</v>
      </c>
      <c r="I22" s="120">
        <f t="shared" si="0"/>
        <v>5.5343552999991585</v>
      </c>
      <c r="J22" s="112"/>
      <c r="K22" s="81"/>
      <c r="L22" s="120" t="s">
        <v>237</v>
      </c>
      <c r="M22" s="133" t="str">
        <f>IF(ISERROR(VLOOKUP($L22,'Calc-Drivers'!$B$17:$F$27,M$42,FALSE))," ",VLOOKUP($L22,'Calc-Drivers'!$B$17:$F$27,M$42,FALSE))</f>
        <v> </v>
      </c>
      <c r="N22" s="133" t="str">
        <f>IF(ISERROR(VLOOKUP($L22,'Calc-Drivers'!$B$17:$F$27,N$42,FALSE))," ",VLOOKUP($L22,'Calc-Drivers'!$B$17:$F$27,N$42,FALSE))</f>
        <v> </v>
      </c>
      <c r="O22" s="133" t="str">
        <f>IF(ISERROR(VLOOKUP($L22,'Calc-Drivers'!$B$17:$F$27,O$42,FALSE))," ",VLOOKUP($L22,'Calc-Drivers'!$B$17:$F$27,O$42,FALSE))</f>
        <v> </v>
      </c>
      <c r="P22" s="133" t="str">
        <f>IF(ISERROR(VLOOKUP($L22,'Calc-Drivers'!$B$17:$F$27,P$42,FALSE))," ",VLOOKUP($L22,'Calc-Drivers'!$B$17:$F$27,P$42,FALSE))</f>
        <v> </v>
      </c>
      <c r="Q22" s="147"/>
      <c r="R22" s="74"/>
      <c r="S22" s="75" t="str">
        <f t="shared" si="1"/>
        <v> </v>
      </c>
      <c r="T22" s="75" t="str">
        <f t="shared" si="1"/>
        <v> </v>
      </c>
      <c r="U22" s="75" t="str">
        <f t="shared" si="1"/>
        <v> </v>
      </c>
      <c r="V22" s="140" t="str">
        <f t="shared" si="1"/>
        <v> </v>
      </c>
      <c r="W22" s="76"/>
      <c r="X22" s="82"/>
      <c r="Y22" s="75" t="str">
        <f t="shared" si="2"/>
        <v> </v>
      </c>
      <c r="Z22" s="75" t="str">
        <f t="shared" si="2"/>
        <v> </v>
      </c>
      <c r="AA22" s="75" t="str">
        <f t="shared" si="2"/>
        <v> </v>
      </c>
      <c r="AB22" s="140" t="str">
        <f t="shared" si="2"/>
        <v> </v>
      </c>
      <c r="AC22" s="83"/>
      <c r="AD22" s="83"/>
      <c r="AE22" s="77" t="str">
        <f>IF(ISERROR(Y22*100000000/'Calc-Units'!$E$21)," ",Y22*100000000/'Calc-Units'!$E$21)</f>
        <v> </v>
      </c>
      <c r="AF22" s="77" t="str">
        <f>IF(ISERROR(Z22*100000000/'Calc-Units'!$D$21)," ",Z22*100000000/'Calc-Units'!$D$21)</f>
        <v> </v>
      </c>
      <c r="AG22" s="77" t="str">
        <f>IF(ISERROR(AA22*100000000/'Calc-Units'!$C$21)," ",AA22*100000000/'Calc-Units'!$C$21)</f>
        <v> </v>
      </c>
      <c r="AH22" s="231" t="str">
        <f>IF(ISERROR(AB22*100000000/'Calc-Units'!$C$21)," ",AB22*100000000/'Calc-Units'!$C$21)</f>
        <v> </v>
      </c>
      <c r="AI22" s="84"/>
      <c r="AJ22" s="80">
        <v>0.5257</v>
      </c>
      <c r="AK22" s="72">
        <f t="shared" si="3"/>
        <v>2.909410581209557</v>
      </c>
      <c r="AL22" s="73">
        <f t="shared" si="4"/>
        <v>2.6249447187896013</v>
      </c>
      <c r="AM22" s="72"/>
      <c r="AN22" s="72"/>
      <c r="AO22" s="75" t="str">
        <f t="shared" si="5"/>
        <v> </v>
      </c>
      <c r="AP22" s="75" t="str">
        <f t="shared" si="5"/>
        <v> </v>
      </c>
      <c r="AQ22" s="75" t="str">
        <f t="shared" si="5"/>
        <v> </v>
      </c>
      <c r="AR22" s="140" t="str">
        <f t="shared" si="5"/>
        <v> </v>
      </c>
      <c r="AS22" s="76"/>
      <c r="AT22" s="84"/>
      <c r="AU22" s="77" t="str">
        <f>IF(ISERROR(AO22*100000000/'Calc-Units'!$E$21)," ",AO22*100000000/'Calc-Units'!$E$21)</f>
        <v> </v>
      </c>
      <c r="AV22" s="77" t="str">
        <f>IF(ISERROR(AP22*100000000/'Calc-Units'!$D$21)," ",AP22*100000000/'Calc-Units'!$D$21)</f>
        <v> </v>
      </c>
      <c r="AW22" s="77" t="str">
        <f>IF(ISERROR(AQ22*100000000/'Calc-Units'!$C$21)," ",AQ22*100000000/'Calc-Units'!$C$21)</f>
        <v> </v>
      </c>
      <c r="AX22" s="231" t="str">
        <f>IF(ISERROR(AR22*100000000/'Calc-Units'!$C$21)," ",AR22*100000000/'Calc-Units'!$C$21)</f>
        <v> </v>
      </c>
      <c r="AZ22" s="82"/>
      <c r="BA22" s="82"/>
    </row>
    <row r="23" spans="1:53" s="85" customFormat="1" ht="12.75">
      <c r="A23" s="87"/>
      <c r="B23" s="86"/>
      <c r="C23" s="107" t="s">
        <v>718</v>
      </c>
      <c r="D23" s="120">
        <f>'RRP 1.3'!U$12</f>
        <v>1.3726373768207174</v>
      </c>
      <c r="E23" s="120">
        <v>0</v>
      </c>
      <c r="F23" s="120">
        <v>0</v>
      </c>
      <c r="G23" s="120">
        <v>0</v>
      </c>
      <c r="H23" s="120">
        <v>0</v>
      </c>
      <c r="I23" s="120">
        <f t="shared" si="0"/>
        <v>1.3726373768207174</v>
      </c>
      <c r="J23" s="112"/>
      <c r="K23" s="81"/>
      <c r="L23" s="120" t="s">
        <v>255</v>
      </c>
      <c r="M23" s="133">
        <f>IF(ISERROR(VLOOKUP($L23,'Calc-Drivers'!$B$17:$F$27,M$42,FALSE))," ",VLOOKUP($L23,'Calc-Drivers'!$B$17:$F$27,M$42,FALSE))</f>
        <v>0.37688402427627665</v>
      </c>
      <c r="N23" s="133">
        <f>IF(ISERROR(VLOOKUP($L23,'Calc-Drivers'!$B$17:$F$27,N$42,FALSE))," ",VLOOKUP($L23,'Calc-Drivers'!$B$17:$F$27,N$42,FALSE))</f>
        <v>0.13148746175802342</v>
      </c>
      <c r="O23" s="133">
        <f>IF(ISERROR(VLOOKUP($L23,'Calc-Drivers'!$B$17:$F$27,O$42,FALSE))," ",VLOOKUP($L23,'Calc-Drivers'!$B$17:$F$27,O$42,FALSE))</f>
        <v>0.03534221933809291</v>
      </c>
      <c r="P23" s="133">
        <f>IF(ISERROR(VLOOKUP($L23,'Calc-Drivers'!$B$17:$F$27,P$42,FALSE))," ",VLOOKUP($L23,'Calc-Drivers'!$B$17:$F$27,P$42,FALSE))</f>
        <v>0.456286294627607</v>
      </c>
      <c r="Q23" s="147"/>
      <c r="R23" s="74"/>
      <c r="S23" s="75">
        <f t="shared" si="1"/>
        <v>0.5173250984482239</v>
      </c>
      <c r="T23" s="75">
        <f t="shared" si="1"/>
        <v>0.18048460459234766</v>
      </c>
      <c r="U23" s="75">
        <f t="shared" si="1"/>
        <v>0.04851205124326228</v>
      </c>
      <c r="V23" s="140">
        <f t="shared" si="1"/>
        <v>0.6263156225368834</v>
      </c>
      <c r="W23" s="76"/>
      <c r="X23" s="82"/>
      <c r="Y23" s="75">
        <f t="shared" si="2"/>
        <v>0.5173250984482239</v>
      </c>
      <c r="Z23" s="75">
        <f t="shared" si="2"/>
        <v>0.18048460459234766</v>
      </c>
      <c r="AA23" s="75">
        <f t="shared" si="2"/>
        <v>0.04851205124326228</v>
      </c>
      <c r="AB23" s="140">
        <f t="shared" si="2"/>
        <v>0.6263156225368834</v>
      </c>
      <c r="AC23" s="83"/>
      <c r="AD23" s="83"/>
      <c r="AE23" s="77">
        <f>IF(ISERROR(Y23*100000000/'Calc-Units'!$E$21)," ",Y23*100000000/'Calc-Units'!$E$21)</f>
        <v>0.0019556088931275417</v>
      </c>
      <c r="AF23" s="77">
        <f>IF(ISERROR(Z23*100000000/'Calc-Units'!$D$21)," ",Z23*100000000/'Calc-Units'!$D$21)</f>
        <v>0.0006977955375593533</v>
      </c>
      <c r="AG23" s="77">
        <f>IF(ISERROR(AA23*100000000/'Calc-Units'!$C$21)," ",AA23*100000000/'Calc-Units'!$C$21)</f>
        <v>0.00028396190144733247</v>
      </c>
      <c r="AH23" s="231">
        <f>IF(ISERROR(AB23*100000000/'Calc-Units'!$C$21)," ",AB23*100000000/'Calc-Units'!$C$21)</f>
        <v>0.0036660947233486505</v>
      </c>
      <c r="AI23" s="84"/>
      <c r="AJ23" s="80">
        <v>0.5257</v>
      </c>
      <c r="AK23" s="72">
        <f t="shared" si="3"/>
        <v>0.7215954689946511</v>
      </c>
      <c r="AL23" s="73">
        <f t="shared" si="4"/>
        <v>0.6510419078260663</v>
      </c>
      <c r="AM23" s="72"/>
      <c r="AN23" s="72"/>
      <c r="AO23" s="75">
        <f t="shared" si="5"/>
        <v>0.24536729419399264</v>
      </c>
      <c r="AP23" s="75">
        <f t="shared" si="5"/>
        <v>0.0856038479581505</v>
      </c>
      <c r="AQ23" s="75">
        <f t="shared" si="5"/>
        <v>0.0230092659046793</v>
      </c>
      <c r="AR23" s="140">
        <f t="shared" si="5"/>
        <v>0.29706149976924384</v>
      </c>
      <c r="AS23" s="76"/>
      <c r="AT23" s="84"/>
      <c r="AU23" s="77">
        <f>IF(ISERROR(AO23*100000000/'Calc-Units'!$E$21)," ",AO23*100000000/'Calc-Units'!$E$21)</f>
        <v>0.0009275452980103932</v>
      </c>
      <c r="AV23" s="77">
        <f>IF(ISERROR(AP23*100000000/'Calc-Units'!$D$21)," ",AP23*100000000/'Calc-Units'!$D$21)</f>
        <v>0.0003309644234644013</v>
      </c>
      <c r="AW23" s="77">
        <f>IF(ISERROR(AQ23*100000000/'Calc-Units'!$C$21)," ",AQ23*100000000/'Calc-Units'!$C$21)</f>
        <v>0.0001346831298564698</v>
      </c>
      <c r="AX23" s="231">
        <f>IF(ISERROR(AR23*100000000/'Calc-Units'!$C$21)," ",AR23*100000000/'Calc-Units'!$C$21)</f>
        <v>0.0017388287272842651</v>
      </c>
      <c r="AZ23" s="82"/>
      <c r="BA23" s="82"/>
    </row>
    <row r="24" spans="1:53" s="85" customFormat="1" ht="12.75">
      <c r="A24" s="87"/>
      <c r="B24" s="86"/>
      <c r="C24" s="107" t="s">
        <v>284</v>
      </c>
      <c r="D24" s="120">
        <f>'RRP 1.3'!V$12</f>
        <v>1.961463426448102</v>
      </c>
      <c r="E24" s="120">
        <v>0</v>
      </c>
      <c r="F24" s="120">
        <v>0</v>
      </c>
      <c r="G24" s="120">
        <v>0</v>
      </c>
      <c r="H24" s="120">
        <v>0</v>
      </c>
      <c r="I24" s="120">
        <f t="shared" si="0"/>
        <v>1.961463426448102</v>
      </c>
      <c r="J24" s="112"/>
      <c r="K24" s="81"/>
      <c r="L24" s="120" t="s">
        <v>255</v>
      </c>
      <c r="M24" s="133">
        <f>IF(ISERROR(VLOOKUP($L24,'Calc-Drivers'!$B$17:$F$27,M$42,FALSE))," ",VLOOKUP($L24,'Calc-Drivers'!$B$17:$F$27,M$42,FALSE))</f>
        <v>0.37688402427627665</v>
      </c>
      <c r="N24" s="133">
        <f>IF(ISERROR(VLOOKUP($L24,'Calc-Drivers'!$B$17:$F$27,N$42,FALSE))," ",VLOOKUP($L24,'Calc-Drivers'!$B$17:$F$27,N$42,FALSE))</f>
        <v>0.13148746175802342</v>
      </c>
      <c r="O24" s="133">
        <f>IF(ISERROR(VLOOKUP($L24,'Calc-Drivers'!$B$17:$F$27,O$42,FALSE))," ",VLOOKUP($L24,'Calc-Drivers'!$B$17:$F$27,O$42,FALSE))</f>
        <v>0.03534221933809291</v>
      </c>
      <c r="P24" s="133">
        <f>IF(ISERROR(VLOOKUP($L24,'Calc-Drivers'!$B$17:$F$27,P$42,FALSE))," ",VLOOKUP($L24,'Calc-Drivers'!$B$17:$F$27,P$42,FALSE))</f>
        <v>0.456286294627607</v>
      </c>
      <c r="Q24" s="147"/>
      <c r="R24" s="74"/>
      <c r="S24" s="75">
        <f t="shared" si="1"/>
        <v>0.7392442296304952</v>
      </c>
      <c r="T24" s="75">
        <f t="shared" si="1"/>
        <v>0.2579078472748564</v>
      </c>
      <c r="U24" s="75">
        <f t="shared" si="1"/>
        <v>0.06932247064117608</v>
      </c>
      <c r="V24" s="140">
        <f t="shared" si="1"/>
        <v>0.8949888789015742</v>
      </c>
      <c r="W24" s="76"/>
      <c r="X24" s="82"/>
      <c r="Y24" s="75">
        <f t="shared" si="2"/>
        <v>0.7392442296304952</v>
      </c>
      <c r="Z24" s="75">
        <f t="shared" si="2"/>
        <v>0.2579078472748564</v>
      </c>
      <c r="AA24" s="75">
        <f t="shared" si="2"/>
        <v>0.06932247064117608</v>
      </c>
      <c r="AB24" s="140">
        <f t="shared" si="2"/>
        <v>0.8949888789015742</v>
      </c>
      <c r="AC24" s="83"/>
      <c r="AD24" s="83"/>
      <c r="AE24" s="77">
        <f>IF(ISERROR(Y24*100000000/'Calc-Units'!$E$21)," ",Y24*100000000/'Calc-Units'!$E$21)</f>
        <v>0.002794514694908629</v>
      </c>
      <c r="AF24" s="77">
        <f>IF(ISERROR(Z24*100000000/'Calc-Units'!$D$21)," ",Z24*100000000/'Calc-Units'!$D$21)</f>
        <v>0.0009971318347978607</v>
      </c>
      <c r="AG24" s="77">
        <f>IF(ISERROR(AA24*100000000/'Calc-Units'!$C$21)," ",AA24*100000000/'Calc-Units'!$C$21)</f>
        <v>0.000405774236953735</v>
      </c>
      <c r="AH24" s="231">
        <f>IF(ISERROR(AB24*100000000/'Calc-Units'!$C$21)," ",AB24*100000000/'Calc-Units'!$C$21)</f>
        <v>0.005238754851917432</v>
      </c>
      <c r="AI24" s="84"/>
      <c r="AJ24" s="80">
        <v>0.5257</v>
      </c>
      <c r="AK24" s="72">
        <f t="shared" si="3"/>
        <v>1.031141323283767</v>
      </c>
      <c r="AL24" s="73">
        <f t="shared" si="4"/>
        <v>0.9303221031643348</v>
      </c>
      <c r="AM24" s="72"/>
      <c r="AN24" s="72"/>
      <c r="AO24" s="75">
        <f t="shared" si="5"/>
        <v>0.3506235381137439</v>
      </c>
      <c r="AP24" s="75">
        <f t="shared" si="5"/>
        <v>0.1223256919624644</v>
      </c>
      <c r="AQ24" s="75">
        <f t="shared" si="5"/>
        <v>0.03287964782510982</v>
      </c>
      <c r="AR24" s="140">
        <f t="shared" si="5"/>
        <v>0.4244932252630167</v>
      </c>
      <c r="AS24" s="76"/>
      <c r="AT24" s="84"/>
      <c r="AU24" s="77">
        <f>IF(ISERROR(AO24*100000000/'Calc-Units'!$E$21)," ",AO24*100000000/'Calc-Units'!$E$21)</f>
        <v>0.0013254383197951628</v>
      </c>
      <c r="AV24" s="77">
        <f>IF(ISERROR(AP24*100000000/'Calc-Units'!$D$21)," ",AP24*100000000/'Calc-Units'!$D$21)</f>
        <v>0.00047293962924462534</v>
      </c>
      <c r="AW24" s="77">
        <f>IF(ISERROR(AQ24*100000000/'Calc-Units'!$C$21)," ",AQ24*100000000/'Calc-Units'!$C$21)</f>
        <v>0.00019245872058715652</v>
      </c>
      <c r="AX24" s="231">
        <f>IF(ISERROR(AR24*100000000/'Calc-Units'!$C$21)," ",AR24*100000000/'Calc-Units'!$C$21)</f>
        <v>0.0024847414262644386</v>
      </c>
      <c r="AZ24" s="82"/>
      <c r="BA24" s="82"/>
    </row>
    <row r="25" spans="1:53" s="85" customFormat="1" ht="12.75">
      <c r="A25" s="87"/>
      <c r="B25" s="86"/>
      <c r="C25" s="107" t="s">
        <v>751</v>
      </c>
      <c r="D25" s="120">
        <f>'RRP 1.3'!W$12</f>
        <v>7.781675596857257</v>
      </c>
      <c r="E25" s="120">
        <v>0</v>
      </c>
      <c r="F25" s="120">
        <v>0</v>
      </c>
      <c r="G25" s="120">
        <v>0</v>
      </c>
      <c r="H25" s="120">
        <v>0</v>
      </c>
      <c r="I25" s="120">
        <f t="shared" si="0"/>
        <v>7.781675596857257</v>
      </c>
      <c r="J25" s="112"/>
      <c r="K25" s="81"/>
      <c r="L25" s="120" t="s">
        <v>255</v>
      </c>
      <c r="M25" s="133">
        <f>IF(ISERROR(VLOOKUP($L25,'Calc-Drivers'!$B$17:$F$27,M$42,FALSE))," ",VLOOKUP($L25,'Calc-Drivers'!$B$17:$F$27,M$42,FALSE))</f>
        <v>0.37688402427627665</v>
      </c>
      <c r="N25" s="133">
        <f>IF(ISERROR(VLOOKUP($L25,'Calc-Drivers'!$B$17:$F$27,N$42,FALSE))," ",VLOOKUP($L25,'Calc-Drivers'!$B$17:$F$27,N$42,FALSE))</f>
        <v>0.13148746175802342</v>
      </c>
      <c r="O25" s="133">
        <f>IF(ISERROR(VLOOKUP($L25,'Calc-Drivers'!$B$17:$F$27,O$42,FALSE))," ",VLOOKUP($L25,'Calc-Drivers'!$B$17:$F$27,O$42,FALSE))</f>
        <v>0.03534221933809291</v>
      </c>
      <c r="P25" s="133">
        <f>IF(ISERROR(VLOOKUP($L25,'Calc-Drivers'!$B$17:$F$27,P$42,FALSE))," ",VLOOKUP($L25,'Calc-Drivers'!$B$17:$F$27,P$42,FALSE))</f>
        <v>0.456286294627607</v>
      </c>
      <c r="Q25" s="147"/>
      <c r="R25" s="74"/>
      <c r="S25" s="75">
        <f t="shared" si="1"/>
        <v>2.93278921455606</v>
      </c>
      <c r="T25" s="75">
        <f t="shared" si="1"/>
        <v>1.0231927724551126</v>
      </c>
      <c r="U25" s="75">
        <f t="shared" si="1"/>
        <v>0.27502168576201425</v>
      </c>
      <c r="V25" s="140">
        <f t="shared" si="1"/>
        <v>3.55067192408407</v>
      </c>
      <c r="W25" s="76"/>
      <c r="X25" s="82"/>
      <c r="Y25" s="75">
        <f t="shared" si="2"/>
        <v>2.93278921455606</v>
      </c>
      <c r="Z25" s="75">
        <f t="shared" si="2"/>
        <v>1.0231927724551126</v>
      </c>
      <c r="AA25" s="75">
        <f t="shared" si="2"/>
        <v>0.27502168576201425</v>
      </c>
      <c r="AB25" s="140">
        <f t="shared" si="2"/>
        <v>3.55067192408407</v>
      </c>
      <c r="AC25" s="83"/>
      <c r="AD25" s="83"/>
      <c r="AE25" s="77">
        <f>IF(ISERROR(Y25*100000000/'Calc-Units'!$E$21)," ",Y25*100000000/'Calc-Units'!$E$21)</f>
        <v>0.01108662364702259</v>
      </c>
      <c r="AF25" s="77">
        <f>IF(ISERROR(Z25*100000000/'Calc-Units'!$D$21)," ",Z25*100000000/'Calc-Units'!$D$21)</f>
        <v>0.00395590168089291</v>
      </c>
      <c r="AG25" s="77">
        <f>IF(ISERROR(AA25*100000000/'Calc-Units'!$C$21)," ",AA25*100000000/'Calc-Units'!$C$21)</f>
        <v>0.0016098202163545672</v>
      </c>
      <c r="AH25" s="231">
        <f>IF(ISERROR(AB25*100000000/'Calc-Units'!$C$21)," ",AB25*100000000/'Calc-Units'!$C$21)</f>
        <v>0.020783609951323286</v>
      </c>
      <c r="AI25" s="84"/>
      <c r="AJ25" s="80">
        <v>0.5257</v>
      </c>
      <c r="AK25" s="72">
        <f t="shared" si="3"/>
        <v>4.0908268612678595</v>
      </c>
      <c r="AL25" s="73">
        <f t="shared" si="4"/>
        <v>3.6908487355893973</v>
      </c>
      <c r="AM25" s="72"/>
      <c r="AN25" s="72"/>
      <c r="AO25" s="75">
        <f t="shared" si="5"/>
        <v>1.3910219244639395</v>
      </c>
      <c r="AP25" s="75">
        <f t="shared" si="5"/>
        <v>0.48530033197545996</v>
      </c>
      <c r="AQ25" s="75">
        <f t="shared" si="5"/>
        <v>0.13044278555692337</v>
      </c>
      <c r="AR25" s="140">
        <f t="shared" si="5"/>
        <v>1.6840836935930745</v>
      </c>
      <c r="AS25" s="76"/>
      <c r="AT25" s="84"/>
      <c r="AU25" s="77">
        <f>IF(ISERROR(AO25*100000000/'Calc-Units'!$E$21)," ",AO25*100000000/'Calc-Units'!$E$21)</f>
        <v>0.005258385595782815</v>
      </c>
      <c r="AV25" s="77">
        <f>IF(ISERROR(AP25*100000000/'Calc-Units'!$D$21)," ",AP25*100000000/'Calc-Units'!$D$21)</f>
        <v>0.0018762841672475075</v>
      </c>
      <c r="AW25" s="77">
        <f>IF(ISERROR(AQ25*100000000/'Calc-Units'!$C$21)," ",AQ25*100000000/'Calc-Units'!$C$21)</f>
        <v>0.0007635377286169712</v>
      </c>
      <c r="AX25" s="231">
        <f>IF(ISERROR(AR25*100000000/'Calc-Units'!$C$21)," ",AR25*100000000/'Calc-Units'!$C$21)</f>
        <v>0.009857666199912634</v>
      </c>
      <c r="AZ25" s="82"/>
      <c r="BA25" s="82"/>
    </row>
    <row r="26" spans="1:53" s="85" customFormat="1" ht="12.75">
      <c r="A26" s="90"/>
      <c r="B26" s="86"/>
      <c r="C26" s="107" t="s">
        <v>238</v>
      </c>
      <c r="D26" s="120">
        <f>'RRP 1.3'!X$12</f>
        <v>1.536754324034403</v>
      </c>
      <c r="E26" s="120">
        <v>0</v>
      </c>
      <c r="F26" s="120">
        <v>0</v>
      </c>
      <c r="G26" s="120">
        <v>0</v>
      </c>
      <c r="H26" s="120">
        <v>0</v>
      </c>
      <c r="I26" s="120">
        <f t="shared" si="0"/>
        <v>1.536754324034403</v>
      </c>
      <c r="J26" s="112"/>
      <c r="K26" s="81"/>
      <c r="L26" s="142" t="s">
        <v>255</v>
      </c>
      <c r="M26" s="133">
        <f>IF(ISERROR(VLOOKUP($L26,'Calc-Drivers'!$B$17:$F$27,M$42,FALSE))," ",VLOOKUP($L26,'Calc-Drivers'!$B$17:$F$27,M$42,FALSE))</f>
        <v>0.37688402427627665</v>
      </c>
      <c r="N26" s="133">
        <f>IF(ISERROR(VLOOKUP($L26,'Calc-Drivers'!$B$17:$F$27,N$42,FALSE))," ",VLOOKUP($L26,'Calc-Drivers'!$B$17:$F$27,N$42,FALSE))</f>
        <v>0.13148746175802342</v>
      </c>
      <c r="O26" s="133">
        <f>IF(ISERROR(VLOOKUP($L26,'Calc-Drivers'!$B$17:$F$27,O$42,FALSE))," ",VLOOKUP($L26,'Calc-Drivers'!$B$17:$F$27,O$42,FALSE))</f>
        <v>0.03534221933809291</v>
      </c>
      <c r="P26" s="133">
        <f>IF(ISERROR(VLOOKUP($L26,'Calc-Drivers'!$B$17:$F$27,P$42,FALSE))," ",VLOOKUP($L26,'Calc-Drivers'!$B$17:$F$27,P$42,FALSE))</f>
        <v>0.456286294627607</v>
      </c>
      <c r="Q26" s="147"/>
      <c r="R26" s="74"/>
      <c r="S26" s="75">
        <f t="shared" si="1"/>
        <v>0.5791781539660551</v>
      </c>
      <c r="T26" s="75">
        <f t="shared" si="1"/>
        <v>0.2020639254129507</v>
      </c>
      <c r="U26" s="75">
        <f t="shared" si="1"/>
        <v>0.054312308388786576</v>
      </c>
      <c r="V26" s="140">
        <f t="shared" si="1"/>
        <v>0.7011999362666107</v>
      </c>
      <c r="W26" s="76"/>
      <c r="X26" s="82"/>
      <c r="Y26" s="144">
        <f t="shared" si="2"/>
        <v>0.5791781539660551</v>
      </c>
      <c r="Z26" s="144">
        <f t="shared" si="2"/>
        <v>0.2020639254129507</v>
      </c>
      <c r="AA26" s="144">
        <f t="shared" si="2"/>
        <v>0.054312308388786576</v>
      </c>
      <c r="AB26" s="141">
        <f t="shared" si="2"/>
        <v>0.7011999362666107</v>
      </c>
      <c r="AC26" s="83"/>
      <c r="AD26" s="83"/>
      <c r="AE26" s="232">
        <f>IF(ISERROR(Y26*100000000/'Calc-Units'!$E$21)," ",Y26*100000000/'Calc-Units'!$E$21)</f>
        <v>0.0021894277930815872</v>
      </c>
      <c r="AF26" s="232">
        <f>IF(ISERROR(Z26*100000000/'Calc-Units'!$D$21)," ",Z26*100000000/'Calc-Units'!$D$21)</f>
        <v>0.0007812262202272138</v>
      </c>
      <c r="AG26" s="232">
        <f>IF(ISERROR(AA26*100000000/'Calc-Units'!$C$21)," ",AA26*100000000/'Calc-Units'!$C$21)</f>
        <v>0.0003179133012689451</v>
      </c>
      <c r="AH26" s="233">
        <f>IF(ISERROR(AB26*100000000/'Calc-Units'!$C$21)," ",AB26*100000000/'Calc-Units'!$C$21)</f>
        <v>0.004104424820104254</v>
      </c>
      <c r="AI26" s="84"/>
      <c r="AJ26" s="260">
        <v>0.5257</v>
      </c>
      <c r="AK26" s="236">
        <f t="shared" si="3"/>
        <v>0.8078717481448856</v>
      </c>
      <c r="AL26" s="237">
        <f t="shared" si="4"/>
        <v>0.7288825758895174</v>
      </c>
      <c r="AM26" s="72"/>
      <c r="AN26" s="72"/>
      <c r="AO26" s="144">
        <f t="shared" si="5"/>
        <v>0.27470419842609994</v>
      </c>
      <c r="AP26" s="144">
        <f t="shared" si="5"/>
        <v>0.09583891982336253</v>
      </c>
      <c r="AQ26" s="144">
        <f t="shared" si="5"/>
        <v>0.025760327868801475</v>
      </c>
      <c r="AR26" s="141">
        <f t="shared" si="5"/>
        <v>0.3325791297712535</v>
      </c>
      <c r="AS26" s="76"/>
      <c r="AT26" s="84"/>
      <c r="AU26" s="232">
        <f>IF(ISERROR(AO26*100000000/'Calc-Units'!$E$21)," ",AO26*100000000/'Calc-Units'!$E$21)</f>
        <v>0.001038445602258597</v>
      </c>
      <c r="AV26" s="232">
        <f>IF(ISERROR(AP26*100000000/'Calc-Units'!$D$21)," ",AP26*100000000/'Calc-Units'!$D$21)</f>
        <v>0.00037053559625376757</v>
      </c>
      <c r="AW26" s="232">
        <f>IF(ISERROR(AQ26*100000000/'Calc-Units'!$C$21)," ",AQ26*100000000/'Calc-Units'!$C$21)</f>
        <v>0.00015078627879186067</v>
      </c>
      <c r="AX26" s="233">
        <f>IF(ISERROR(AR26*100000000/'Calc-Units'!$C$21)," ",AR26*100000000/'Calc-Units'!$C$21)</f>
        <v>0.0019467286921754476</v>
      </c>
      <c r="AZ26" s="82"/>
      <c r="BA26" s="82"/>
    </row>
    <row r="27" spans="1:53" s="69" customFormat="1" ht="12.75" customHeight="1">
      <c r="A27" s="89" t="s">
        <v>87</v>
      </c>
      <c r="B27" s="103"/>
      <c r="C27" s="89" t="s">
        <v>239</v>
      </c>
      <c r="D27" s="121">
        <f>'RRP 1.3'!Y$12</f>
        <v>2.24185108</v>
      </c>
      <c r="E27" s="121">
        <v>0</v>
      </c>
      <c r="F27" s="121">
        <v>0</v>
      </c>
      <c r="G27" s="121">
        <v>0</v>
      </c>
      <c r="H27" s="121">
        <v>0</v>
      </c>
      <c r="I27" s="121">
        <f t="shared" si="0"/>
        <v>2.24185108</v>
      </c>
      <c r="J27" s="113"/>
      <c r="K27" s="72"/>
      <c r="L27" s="122" t="s">
        <v>237</v>
      </c>
      <c r="M27" s="133" t="str">
        <f>IF(ISERROR(VLOOKUP($L27,'Calc-Drivers'!$B$17:$F$27,M$42,FALSE))," ",VLOOKUP($L27,'Calc-Drivers'!$B$17:$F$27,M$42,FALSE))</f>
        <v> </v>
      </c>
      <c r="N27" s="133" t="str">
        <f>IF(ISERROR(VLOOKUP($L27,'Calc-Drivers'!$B$17:$F$27,N$42,FALSE))," ",VLOOKUP($L27,'Calc-Drivers'!$B$17:$F$27,N$42,FALSE))</f>
        <v> </v>
      </c>
      <c r="O27" s="133" t="str">
        <f>IF(ISERROR(VLOOKUP($L27,'Calc-Drivers'!$B$17:$F$27,O$42,FALSE))," ",VLOOKUP($L27,'Calc-Drivers'!$B$17:$F$27,O$42,FALSE))</f>
        <v> </v>
      </c>
      <c r="P27" s="133" t="str">
        <f>IF(ISERROR(VLOOKUP($L27,'Calc-Drivers'!$B$17:$F$27,P$42,FALSE))," ",VLOOKUP($L27,'Calc-Drivers'!$B$17:$F$27,P$42,FALSE))</f>
        <v> </v>
      </c>
      <c r="Q27" s="147"/>
      <c r="R27" s="74"/>
      <c r="S27" s="143" t="str">
        <f t="shared" si="1"/>
        <v> </v>
      </c>
      <c r="T27" s="143" t="str">
        <f t="shared" si="1"/>
        <v> </v>
      </c>
      <c r="U27" s="143" t="str">
        <f t="shared" si="1"/>
        <v> </v>
      </c>
      <c r="V27" s="139" t="str">
        <f t="shared" si="1"/>
        <v> </v>
      </c>
      <c r="W27" s="76"/>
      <c r="X27" s="70"/>
      <c r="Y27" s="143" t="str">
        <f t="shared" si="2"/>
        <v> </v>
      </c>
      <c r="Z27" s="143" t="str">
        <f t="shared" si="2"/>
        <v> </v>
      </c>
      <c r="AA27" s="143" t="str">
        <f t="shared" si="2"/>
        <v> </v>
      </c>
      <c r="AB27" s="139" t="str">
        <f t="shared" si="2"/>
        <v> </v>
      </c>
      <c r="AC27" s="76"/>
      <c r="AD27" s="76"/>
      <c r="AE27" s="255" t="str">
        <f>IF(ISERROR(Y27*100000000/'Calc-Units'!$E$21)," ",Y27*100000000/'Calc-Units'!$E$21)</f>
        <v> </v>
      </c>
      <c r="AF27" s="255" t="str">
        <f>IF(ISERROR(Z27*100000000/'Calc-Units'!$D$21)," ",Z27*100000000/'Calc-Units'!$D$21)</f>
        <v> </v>
      </c>
      <c r="AG27" s="255" t="str">
        <f>IF(ISERROR(AA27*100000000/'Calc-Units'!$C$21)," ",AA27*100000000/'Calc-Units'!$C$21)</f>
        <v> </v>
      </c>
      <c r="AH27" s="256" t="str">
        <f>IF(ISERROR(AB27*100000000/'Calc-Units'!$C$21)," ",AB27*100000000/'Calc-Units'!$C$21)</f>
        <v> </v>
      </c>
      <c r="AI27" s="78"/>
      <c r="AJ27" s="88">
        <v>0</v>
      </c>
      <c r="AK27" s="72">
        <f t="shared" si="3"/>
        <v>0</v>
      </c>
      <c r="AL27" s="73">
        <f t="shared" si="4"/>
        <v>2.24185108</v>
      </c>
      <c r="AM27" s="72"/>
      <c r="AN27" s="72"/>
      <c r="AO27" s="143" t="str">
        <f t="shared" si="5"/>
        <v> </v>
      </c>
      <c r="AP27" s="143" t="str">
        <f t="shared" si="5"/>
        <v> </v>
      </c>
      <c r="AQ27" s="143" t="str">
        <f t="shared" si="5"/>
        <v> </v>
      </c>
      <c r="AR27" s="139" t="str">
        <f t="shared" si="5"/>
        <v> </v>
      </c>
      <c r="AS27" s="76"/>
      <c r="AT27" s="78"/>
      <c r="AU27" s="255" t="str">
        <f>IF(ISERROR(AO27*100000000/'Calc-Units'!$E$21)," ",AO27*100000000/'Calc-Units'!$E$21)</f>
        <v> </v>
      </c>
      <c r="AV27" s="255" t="str">
        <f>IF(ISERROR(AP27*100000000/'Calc-Units'!$D$21)," ",AP27*100000000/'Calc-Units'!$D$21)</f>
        <v> </v>
      </c>
      <c r="AW27" s="255" t="str">
        <f>IF(ISERROR(AQ27*100000000/'Calc-Units'!$C$21)," ",AQ27*100000000/'Calc-Units'!$C$21)</f>
        <v> </v>
      </c>
      <c r="AX27" s="256" t="str">
        <f>IF(ISERROR(AR27*100000000/'Calc-Units'!$C$21)," ",AR27*100000000/'Calc-Units'!$C$21)</f>
        <v> </v>
      </c>
      <c r="AZ27" s="82"/>
      <c r="BA27" s="70"/>
    </row>
    <row r="28" spans="1:53" s="69" customFormat="1" ht="12.75">
      <c r="A28" s="87"/>
      <c r="B28" s="104"/>
      <c r="C28" s="87" t="s">
        <v>240</v>
      </c>
      <c r="D28" s="122">
        <f>'RRP 1.3'!Z$12</f>
        <v>7.62</v>
      </c>
      <c r="E28" s="122">
        <v>0</v>
      </c>
      <c r="F28" s="122">
        <v>0</v>
      </c>
      <c r="G28" s="122">
        <v>0</v>
      </c>
      <c r="H28" s="122">
        <v>0</v>
      </c>
      <c r="I28" s="122">
        <f t="shared" si="0"/>
        <v>7.62</v>
      </c>
      <c r="J28" s="113"/>
      <c r="K28" s="72"/>
      <c r="L28" s="121" t="s">
        <v>237</v>
      </c>
      <c r="M28" s="226" t="str">
        <f>IF(ISERROR(VLOOKUP($L28,'Calc-Drivers'!$B$17:$F$27,M$42,FALSE))," ",VLOOKUP($L28,'Calc-Drivers'!$B$17:$F$27,M$42,FALSE))</f>
        <v> </v>
      </c>
      <c r="N28" s="226" t="str">
        <f>IF(ISERROR(VLOOKUP($L28,'Calc-Drivers'!$B$17:$F$27,N$42,FALSE))," ",VLOOKUP($L28,'Calc-Drivers'!$B$17:$F$27,N$42,FALSE))</f>
        <v> </v>
      </c>
      <c r="O28" s="226" t="str">
        <f>IF(ISERROR(VLOOKUP($L28,'Calc-Drivers'!$B$17:$F$27,O$42,FALSE))," ",VLOOKUP($L28,'Calc-Drivers'!$B$17:$F$27,O$42,FALSE))</f>
        <v> </v>
      </c>
      <c r="P28" s="226" t="str">
        <f>IF(ISERROR(VLOOKUP($L28,'Calc-Drivers'!$B$17:$F$27,P$42,FALSE))," ",VLOOKUP($L28,'Calc-Drivers'!$B$17:$F$27,P$42,FALSE))</f>
        <v> </v>
      </c>
      <c r="Q28" s="147"/>
      <c r="R28" s="74"/>
      <c r="S28" s="75" t="str">
        <f t="shared" si="1"/>
        <v> </v>
      </c>
      <c r="T28" s="75" t="str">
        <f t="shared" si="1"/>
        <v> </v>
      </c>
      <c r="U28" s="75" t="str">
        <f t="shared" si="1"/>
        <v> </v>
      </c>
      <c r="V28" s="140" t="str">
        <f t="shared" si="1"/>
        <v> </v>
      </c>
      <c r="W28" s="76"/>
      <c r="X28" s="70"/>
      <c r="Y28" s="75" t="str">
        <f t="shared" si="2"/>
        <v> </v>
      </c>
      <c r="Z28" s="75" t="str">
        <f t="shared" si="2"/>
        <v> </v>
      </c>
      <c r="AA28" s="75" t="str">
        <f t="shared" si="2"/>
        <v> </v>
      </c>
      <c r="AB28" s="140" t="str">
        <f t="shared" si="2"/>
        <v> </v>
      </c>
      <c r="AC28" s="76"/>
      <c r="AD28" s="76"/>
      <c r="AE28" s="77" t="str">
        <f>IF(ISERROR(Y28*100000000/'Calc-Units'!$E$21)," ",Y28*100000000/'Calc-Units'!$E$21)</f>
        <v> </v>
      </c>
      <c r="AF28" s="77" t="str">
        <f>IF(ISERROR(Z28*100000000/'Calc-Units'!$D$21)," ",Z28*100000000/'Calc-Units'!$D$21)</f>
        <v> </v>
      </c>
      <c r="AG28" s="77" t="str">
        <f>IF(ISERROR(AA28*100000000/'Calc-Units'!$C$21)," ",AA28*100000000/'Calc-Units'!$C$21)</f>
        <v> </v>
      </c>
      <c r="AH28" s="231" t="str">
        <f>IF(ISERROR(AB28*100000000/'Calc-Units'!$C$21)," ",AB28*100000000/'Calc-Units'!$C$21)</f>
        <v> </v>
      </c>
      <c r="AI28" s="78"/>
      <c r="AJ28" s="88">
        <v>0.577</v>
      </c>
      <c r="AK28" s="72">
        <f t="shared" si="3"/>
        <v>4.396739999999999</v>
      </c>
      <c r="AL28" s="73">
        <f t="shared" si="4"/>
        <v>3.2232600000000002</v>
      </c>
      <c r="AM28" s="72"/>
      <c r="AN28" s="72"/>
      <c r="AO28" s="75" t="str">
        <f t="shared" si="5"/>
        <v> </v>
      </c>
      <c r="AP28" s="75" t="str">
        <f t="shared" si="5"/>
        <v> </v>
      </c>
      <c r="AQ28" s="75" t="str">
        <f t="shared" si="5"/>
        <v> </v>
      </c>
      <c r="AR28" s="140" t="str">
        <f t="shared" si="5"/>
        <v> </v>
      </c>
      <c r="AS28" s="76"/>
      <c r="AT28" s="78"/>
      <c r="AU28" s="77" t="str">
        <f>IF(ISERROR(AO28*100000000/'Calc-Units'!$E$21)," ",AO28*100000000/'Calc-Units'!$E$21)</f>
        <v> </v>
      </c>
      <c r="AV28" s="77" t="str">
        <f>IF(ISERROR(AP28*100000000/'Calc-Units'!$D$21)," ",AP28*100000000/'Calc-Units'!$D$21)</f>
        <v> </v>
      </c>
      <c r="AW28" s="77" t="str">
        <f>IF(ISERROR(AQ28*100000000/'Calc-Units'!$C$21)," ",AQ28*100000000/'Calc-Units'!$C$21)</f>
        <v> </v>
      </c>
      <c r="AX28" s="231" t="str">
        <f>IF(ISERROR(AR28*100000000/'Calc-Units'!$C$21)," ",AR28*100000000/'Calc-Units'!$C$21)</f>
        <v> </v>
      </c>
      <c r="AZ28" s="82"/>
      <c r="BA28" s="70"/>
    </row>
    <row r="29" spans="1:53" s="69" customFormat="1" ht="12.75">
      <c r="A29" s="87"/>
      <c r="B29" s="104"/>
      <c r="C29" s="87" t="s">
        <v>568</v>
      </c>
      <c r="D29" s="122">
        <f>'RRP 1.3'!AA$12</f>
        <v>0.81564207</v>
      </c>
      <c r="E29" s="122">
        <v>0</v>
      </c>
      <c r="F29" s="122">
        <v>0</v>
      </c>
      <c r="G29" s="122">
        <v>0</v>
      </c>
      <c r="H29" s="122">
        <v>0</v>
      </c>
      <c r="I29" s="122">
        <f t="shared" si="0"/>
        <v>0.81564207</v>
      </c>
      <c r="J29" s="113"/>
      <c r="K29" s="72"/>
      <c r="L29" s="122" t="s">
        <v>237</v>
      </c>
      <c r="M29" s="133" t="str">
        <f>IF(ISERROR(VLOOKUP($L29,'Calc-Drivers'!$B$17:$F$27,M$42,FALSE))," ",VLOOKUP($L29,'Calc-Drivers'!$B$17:$F$27,M$42,FALSE))</f>
        <v> </v>
      </c>
      <c r="N29" s="133" t="str">
        <f>IF(ISERROR(VLOOKUP($L29,'Calc-Drivers'!$B$17:$F$27,N$42,FALSE))," ",VLOOKUP($L29,'Calc-Drivers'!$B$17:$F$27,N$42,FALSE))</f>
        <v> </v>
      </c>
      <c r="O29" s="133" t="str">
        <f>IF(ISERROR(VLOOKUP($L29,'Calc-Drivers'!$B$17:$F$27,O$42,FALSE))," ",VLOOKUP($L29,'Calc-Drivers'!$B$17:$F$27,O$42,FALSE))</f>
        <v> </v>
      </c>
      <c r="P29" s="133" t="str">
        <f>IF(ISERROR(VLOOKUP($L29,'Calc-Drivers'!$B$17:$F$27,P$42,FALSE))," ",VLOOKUP($L29,'Calc-Drivers'!$B$17:$F$27,P$42,FALSE))</f>
        <v> </v>
      </c>
      <c r="Q29" s="147"/>
      <c r="R29" s="74"/>
      <c r="S29" s="75" t="str">
        <f t="shared" si="1"/>
        <v> </v>
      </c>
      <c r="T29" s="75" t="str">
        <f t="shared" si="1"/>
        <v> </v>
      </c>
      <c r="U29" s="75" t="str">
        <f t="shared" si="1"/>
        <v> </v>
      </c>
      <c r="V29" s="140" t="str">
        <f t="shared" si="1"/>
        <v> </v>
      </c>
      <c r="W29" s="76"/>
      <c r="X29" s="70"/>
      <c r="Y29" s="75" t="str">
        <f t="shared" si="2"/>
        <v> </v>
      </c>
      <c r="Z29" s="75" t="str">
        <f t="shared" si="2"/>
        <v> </v>
      </c>
      <c r="AA29" s="75" t="str">
        <f t="shared" si="2"/>
        <v> </v>
      </c>
      <c r="AB29" s="140" t="str">
        <f t="shared" si="2"/>
        <v> </v>
      </c>
      <c r="AC29" s="76"/>
      <c r="AD29" s="76"/>
      <c r="AE29" s="77" t="str">
        <f>IF(ISERROR(Y29*100000000/'Calc-Units'!$E$21)," ",Y29*100000000/'Calc-Units'!$E$21)</f>
        <v> </v>
      </c>
      <c r="AF29" s="77" t="str">
        <f>IF(ISERROR(Z29*100000000/'Calc-Units'!$D$21)," ",Z29*100000000/'Calc-Units'!$D$21)</f>
        <v> </v>
      </c>
      <c r="AG29" s="77" t="str">
        <f>IF(ISERROR(AA29*100000000/'Calc-Units'!$C$21)," ",AA29*100000000/'Calc-Units'!$C$21)</f>
        <v> </v>
      </c>
      <c r="AH29" s="231" t="str">
        <f>IF(ISERROR(AB29*100000000/'Calc-Units'!$C$21)," ",AB29*100000000/'Calc-Units'!$C$21)</f>
        <v> </v>
      </c>
      <c r="AI29" s="78"/>
      <c r="AJ29" s="88">
        <v>0</v>
      </c>
      <c r="AK29" s="72">
        <f t="shared" si="3"/>
        <v>0</v>
      </c>
      <c r="AL29" s="73">
        <f t="shared" si="4"/>
        <v>0.81564207</v>
      </c>
      <c r="AM29" s="72"/>
      <c r="AN29" s="72"/>
      <c r="AO29" s="75" t="str">
        <f t="shared" si="5"/>
        <v> </v>
      </c>
      <c r="AP29" s="75" t="str">
        <f t="shared" si="5"/>
        <v> </v>
      </c>
      <c r="AQ29" s="75" t="str">
        <f t="shared" si="5"/>
        <v> </v>
      </c>
      <c r="AR29" s="140" t="str">
        <f t="shared" si="5"/>
        <v> </v>
      </c>
      <c r="AS29" s="76"/>
      <c r="AT29" s="78"/>
      <c r="AU29" s="77" t="str">
        <f>IF(ISERROR(AO29*100000000/'Calc-Units'!$E$21)," ",AO29*100000000/'Calc-Units'!$E$21)</f>
        <v> </v>
      </c>
      <c r="AV29" s="77" t="str">
        <f>IF(ISERROR(AP29*100000000/'Calc-Units'!$D$21)," ",AP29*100000000/'Calc-Units'!$D$21)</f>
        <v> </v>
      </c>
      <c r="AW29" s="77" t="str">
        <f>IF(ISERROR(AQ29*100000000/'Calc-Units'!$C$21)," ",AQ29*100000000/'Calc-Units'!$C$21)</f>
        <v> </v>
      </c>
      <c r="AX29" s="231" t="str">
        <f>IF(ISERROR(AR29*100000000/'Calc-Units'!$C$21)," ",AR29*100000000/'Calc-Units'!$C$21)</f>
        <v> </v>
      </c>
      <c r="AZ29" s="70"/>
      <c r="BA29" s="70"/>
    </row>
    <row r="30" spans="1:53" s="69" customFormat="1" ht="12.75">
      <c r="A30" s="87"/>
      <c r="B30" s="104"/>
      <c r="C30" s="87" t="s">
        <v>569</v>
      </c>
      <c r="D30" s="122">
        <f>'RRP 1.3'!AB$12</f>
        <v>12.183907341469606</v>
      </c>
      <c r="E30" s="122">
        <v>0</v>
      </c>
      <c r="F30" s="122">
        <v>0</v>
      </c>
      <c r="G30" s="122">
        <v>0</v>
      </c>
      <c r="H30" s="122">
        <v>0</v>
      </c>
      <c r="I30" s="122">
        <f t="shared" si="0"/>
        <v>12.183907341469606</v>
      </c>
      <c r="J30" s="113"/>
      <c r="K30" s="72"/>
      <c r="L30" s="122" t="s">
        <v>237</v>
      </c>
      <c r="M30" s="133" t="str">
        <f>IF(ISERROR(VLOOKUP($L30,'Calc-Drivers'!$B$17:$F$27,M$42,FALSE))," ",VLOOKUP($L30,'Calc-Drivers'!$B$17:$F$27,M$42,FALSE))</f>
        <v> </v>
      </c>
      <c r="N30" s="133" t="str">
        <f>IF(ISERROR(VLOOKUP($L30,'Calc-Drivers'!$B$17:$F$27,N$42,FALSE))," ",VLOOKUP($L30,'Calc-Drivers'!$B$17:$F$27,N$42,FALSE))</f>
        <v> </v>
      </c>
      <c r="O30" s="133" t="str">
        <f>IF(ISERROR(VLOOKUP($L30,'Calc-Drivers'!$B$17:$F$27,O$42,FALSE))," ",VLOOKUP($L30,'Calc-Drivers'!$B$17:$F$27,O$42,FALSE))</f>
        <v> </v>
      </c>
      <c r="P30" s="133" t="str">
        <f>IF(ISERROR(VLOOKUP($L30,'Calc-Drivers'!$B$17:$F$27,P$42,FALSE))," ",VLOOKUP($L30,'Calc-Drivers'!$B$17:$F$27,P$42,FALSE))</f>
        <v> </v>
      </c>
      <c r="Q30" s="147"/>
      <c r="R30" s="74"/>
      <c r="S30" s="75" t="str">
        <f t="shared" si="1"/>
        <v> </v>
      </c>
      <c r="T30" s="75" t="str">
        <f t="shared" si="1"/>
        <v> </v>
      </c>
      <c r="U30" s="75" t="str">
        <f t="shared" si="1"/>
        <v> </v>
      </c>
      <c r="V30" s="140" t="str">
        <f t="shared" si="1"/>
        <v> </v>
      </c>
      <c r="W30" s="76"/>
      <c r="X30" s="70"/>
      <c r="Y30" s="75" t="str">
        <f t="shared" si="2"/>
        <v> </v>
      </c>
      <c r="Z30" s="75" t="str">
        <f t="shared" si="2"/>
        <v> </v>
      </c>
      <c r="AA30" s="75" t="str">
        <f t="shared" si="2"/>
        <v> </v>
      </c>
      <c r="AB30" s="140" t="str">
        <f t="shared" si="2"/>
        <v> </v>
      </c>
      <c r="AC30" s="76"/>
      <c r="AD30" s="76"/>
      <c r="AE30" s="77" t="str">
        <f>IF(ISERROR(Y30*100000000/'Calc-Units'!$E$21)," ",Y30*100000000/'Calc-Units'!$E$21)</f>
        <v> </v>
      </c>
      <c r="AF30" s="77" t="str">
        <f>IF(ISERROR(Z30*100000000/'Calc-Units'!$D$21)," ",Z30*100000000/'Calc-Units'!$D$21)</f>
        <v> </v>
      </c>
      <c r="AG30" s="77" t="str">
        <f>IF(ISERROR(AA30*100000000/'Calc-Units'!$C$21)," ",AA30*100000000/'Calc-Units'!$C$21)</f>
        <v> </v>
      </c>
      <c r="AH30" s="231" t="str">
        <f>IF(ISERROR(AB30*100000000/'Calc-Units'!$C$21)," ",AB30*100000000/'Calc-Units'!$C$21)</f>
        <v> </v>
      </c>
      <c r="AI30" s="78"/>
      <c r="AJ30" s="88">
        <v>0</v>
      </c>
      <c r="AK30" s="72">
        <f t="shared" si="3"/>
        <v>0</v>
      </c>
      <c r="AL30" s="73">
        <f t="shared" si="4"/>
        <v>12.183907341469606</v>
      </c>
      <c r="AM30" s="72"/>
      <c r="AN30" s="72"/>
      <c r="AO30" s="75" t="str">
        <f t="shared" si="5"/>
        <v> </v>
      </c>
      <c r="AP30" s="75" t="str">
        <f t="shared" si="5"/>
        <v> </v>
      </c>
      <c r="AQ30" s="75" t="str">
        <f t="shared" si="5"/>
        <v> </v>
      </c>
      <c r="AR30" s="140" t="str">
        <f t="shared" si="5"/>
        <v> </v>
      </c>
      <c r="AS30" s="76"/>
      <c r="AT30" s="78"/>
      <c r="AU30" s="77" t="str">
        <f>IF(ISERROR(AO30*100000000/'Calc-Units'!$E$21)," ",AO30*100000000/'Calc-Units'!$E$21)</f>
        <v> </v>
      </c>
      <c r="AV30" s="77" t="str">
        <f>IF(ISERROR(AP30*100000000/'Calc-Units'!$D$21)," ",AP30*100000000/'Calc-Units'!$D$21)</f>
        <v> </v>
      </c>
      <c r="AW30" s="77" t="str">
        <f>IF(ISERROR(AQ30*100000000/'Calc-Units'!$C$21)," ",AQ30*100000000/'Calc-Units'!$C$21)</f>
        <v> </v>
      </c>
      <c r="AX30" s="231" t="str">
        <f>IF(ISERROR(AR30*100000000/'Calc-Units'!$C$21)," ",AR30*100000000/'Calc-Units'!$C$21)</f>
        <v> </v>
      </c>
      <c r="AZ30" s="70"/>
      <c r="BA30" s="70"/>
    </row>
    <row r="31" spans="1:53" s="69" customFormat="1" ht="12.75">
      <c r="A31" s="87"/>
      <c r="B31" s="104"/>
      <c r="C31" s="87" t="s">
        <v>278</v>
      </c>
      <c r="D31" s="122">
        <f>'RRP 1.3'!AC$12</f>
        <v>1.3999999737279722E-07</v>
      </c>
      <c r="E31" s="122">
        <v>0</v>
      </c>
      <c r="F31" s="122">
        <v>0</v>
      </c>
      <c r="G31" s="122">
        <v>0</v>
      </c>
      <c r="H31" s="122">
        <v>0</v>
      </c>
      <c r="I31" s="122">
        <f t="shared" si="0"/>
        <v>1.3999999737279722E-07</v>
      </c>
      <c r="J31" s="113"/>
      <c r="K31" s="72"/>
      <c r="L31" s="122" t="s">
        <v>237</v>
      </c>
      <c r="M31" s="133" t="str">
        <f>IF(ISERROR(VLOOKUP($L31,'Calc-Drivers'!$B$17:$F$27,M$42,FALSE))," ",VLOOKUP($L31,'Calc-Drivers'!$B$17:$F$27,M$42,FALSE))</f>
        <v> </v>
      </c>
      <c r="N31" s="133" t="str">
        <f>IF(ISERROR(VLOOKUP($L31,'Calc-Drivers'!$B$17:$F$27,N$42,FALSE))," ",VLOOKUP($L31,'Calc-Drivers'!$B$17:$F$27,N$42,FALSE))</f>
        <v> </v>
      </c>
      <c r="O31" s="133" t="str">
        <f>IF(ISERROR(VLOOKUP($L31,'Calc-Drivers'!$B$17:$F$27,O$42,FALSE))," ",VLOOKUP($L31,'Calc-Drivers'!$B$17:$F$27,O$42,FALSE))</f>
        <v> </v>
      </c>
      <c r="P31" s="133" t="str">
        <f>IF(ISERROR(VLOOKUP($L31,'Calc-Drivers'!$B$17:$F$27,P$42,FALSE))," ",VLOOKUP($L31,'Calc-Drivers'!$B$17:$F$27,P$42,FALSE))</f>
        <v> </v>
      </c>
      <c r="Q31" s="147"/>
      <c r="R31" s="74"/>
      <c r="S31" s="75" t="str">
        <f t="shared" si="1"/>
        <v> </v>
      </c>
      <c r="T31" s="75" t="str">
        <f t="shared" si="1"/>
        <v> </v>
      </c>
      <c r="U31" s="75" t="str">
        <f t="shared" si="1"/>
        <v> </v>
      </c>
      <c r="V31" s="140" t="str">
        <f t="shared" si="1"/>
        <v> </v>
      </c>
      <c r="W31" s="76"/>
      <c r="X31" s="70"/>
      <c r="Y31" s="75" t="str">
        <f t="shared" si="2"/>
        <v> </v>
      </c>
      <c r="Z31" s="75" t="str">
        <f t="shared" si="2"/>
        <v> </v>
      </c>
      <c r="AA31" s="75" t="str">
        <f t="shared" si="2"/>
        <v> </v>
      </c>
      <c r="AB31" s="140" t="str">
        <f t="shared" si="2"/>
        <v> </v>
      </c>
      <c r="AC31" s="76"/>
      <c r="AD31" s="76"/>
      <c r="AE31" s="77" t="str">
        <f>IF(ISERROR(Y31*100000000/'Calc-Units'!$E$21)," ",Y31*100000000/'Calc-Units'!$E$21)</f>
        <v> </v>
      </c>
      <c r="AF31" s="77" t="str">
        <f>IF(ISERROR(Z31*100000000/'Calc-Units'!$D$21)," ",Z31*100000000/'Calc-Units'!$D$21)</f>
        <v> </v>
      </c>
      <c r="AG31" s="77" t="str">
        <f>IF(ISERROR(AA31*100000000/'Calc-Units'!$C$21)," ",AA31*100000000/'Calc-Units'!$C$21)</f>
        <v> </v>
      </c>
      <c r="AH31" s="231" t="str">
        <f>IF(ISERROR(AB31*100000000/'Calc-Units'!$C$21)," ",AB31*100000000/'Calc-Units'!$C$21)</f>
        <v> </v>
      </c>
      <c r="AI31" s="78"/>
      <c r="AJ31" s="88">
        <v>0</v>
      </c>
      <c r="AK31" s="72">
        <f t="shared" si="3"/>
        <v>0</v>
      </c>
      <c r="AL31" s="73">
        <f t="shared" si="4"/>
        <v>1.3999999737279722E-07</v>
      </c>
      <c r="AM31" s="72"/>
      <c r="AN31" s="72"/>
      <c r="AO31" s="75" t="str">
        <f t="shared" si="5"/>
        <v> </v>
      </c>
      <c r="AP31" s="75" t="str">
        <f t="shared" si="5"/>
        <v> </v>
      </c>
      <c r="AQ31" s="75" t="str">
        <f t="shared" si="5"/>
        <v> </v>
      </c>
      <c r="AR31" s="140" t="str">
        <f t="shared" si="5"/>
        <v> </v>
      </c>
      <c r="AS31" s="76"/>
      <c r="AT31" s="78"/>
      <c r="AU31" s="77" t="str">
        <f>IF(ISERROR(AO31*100000000/'Calc-Units'!$E$21)," ",AO31*100000000/'Calc-Units'!$E$21)</f>
        <v> </v>
      </c>
      <c r="AV31" s="77" t="str">
        <f>IF(ISERROR(AP31*100000000/'Calc-Units'!$D$21)," ",AP31*100000000/'Calc-Units'!$D$21)</f>
        <v> </v>
      </c>
      <c r="AW31" s="77" t="str">
        <f>IF(ISERROR(AQ31*100000000/'Calc-Units'!$C$21)," ",AQ31*100000000/'Calc-Units'!$C$21)</f>
        <v> </v>
      </c>
      <c r="AX31" s="231" t="str">
        <f>IF(ISERROR(AR31*100000000/'Calc-Units'!$C$21)," ",AR31*100000000/'Calc-Units'!$C$21)</f>
        <v> </v>
      </c>
      <c r="AZ31" s="70"/>
      <c r="BA31" s="70"/>
    </row>
    <row r="32" spans="1:53" s="69" customFormat="1" ht="12.75">
      <c r="A32" s="87"/>
      <c r="B32" s="104"/>
      <c r="C32" s="87" t="s">
        <v>703</v>
      </c>
      <c r="D32" s="122">
        <f>'RRP 1.3'!AD$12</f>
        <v>1.0147458008000003</v>
      </c>
      <c r="E32" s="122">
        <v>0</v>
      </c>
      <c r="F32" s="122">
        <v>0</v>
      </c>
      <c r="G32" s="122">
        <v>0</v>
      </c>
      <c r="H32" s="122">
        <v>0</v>
      </c>
      <c r="I32" s="122">
        <f t="shared" si="0"/>
        <v>1.0147458008000003</v>
      </c>
      <c r="J32" s="113"/>
      <c r="K32" s="72"/>
      <c r="L32" s="122" t="s">
        <v>237</v>
      </c>
      <c r="M32" s="133" t="str">
        <f>IF(ISERROR(VLOOKUP($L32,'Calc-Drivers'!$B$17:$F$27,M$42,FALSE))," ",VLOOKUP($L32,'Calc-Drivers'!$B$17:$F$27,M$42,FALSE))</f>
        <v> </v>
      </c>
      <c r="N32" s="133" t="str">
        <f>IF(ISERROR(VLOOKUP($L32,'Calc-Drivers'!$B$17:$F$27,N$42,FALSE))," ",VLOOKUP($L32,'Calc-Drivers'!$B$17:$F$27,N$42,FALSE))</f>
        <v> </v>
      </c>
      <c r="O32" s="133" t="str">
        <f>IF(ISERROR(VLOOKUP($L32,'Calc-Drivers'!$B$17:$F$27,O$42,FALSE))," ",VLOOKUP($L32,'Calc-Drivers'!$B$17:$F$27,O$42,FALSE))</f>
        <v> </v>
      </c>
      <c r="P32" s="133" t="str">
        <f>IF(ISERROR(VLOOKUP($L32,'Calc-Drivers'!$B$17:$F$27,P$42,FALSE))," ",VLOOKUP($L32,'Calc-Drivers'!$B$17:$F$27,P$42,FALSE))</f>
        <v> </v>
      </c>
      <c r="Q32" s="147"/>
      <c r="R32" s="74"/>
      <c r="S32" s="75" t="str">
        <f t="shared" si="1"/>
        <v> </v>
      </c>
      <c r="T32" s="75" t="str">
        <f t="shared" si="1"/>
        <v> </v>
      </c>
      <c r="U32" s="75" t="str">
        <f t="shared" si="1"/>
        <v> </v>
      </c>
      <c r="V32" s="140" t="str">
        <f t="shared" si="1"/>
        <v> </v>
      </c>
      <c r="W32" s="76"/>
      <c r="X32" s="70"/>
      <c r="Y32" s="75" t="str">
        <f t="shared" si="2"/>
        <v> </v>
      </c>
      <c r="Z32" s="75" t="str">
        <f t="shared" si="2"/>
        <v> </v>
      </c>
      <c r="AA32" s="75" t="str">
        <f t="shared" si="2"/>
        <v> </v>
      </c>
      <c r="AB32" s="140" t="str">
        <f t="shared" si="2"/>
        <v> </v>
      </c>
      <c r="AC32" s="76"/>
      <c r="AD32" s="76"/>
      <c r="AE32" s="77" t="str">
        <f>IF(ISERROR(Y32*100000000/'Calc-Units'!$E$21)," ",Y32*100000000/'Calc-Units'!$E$21)</f>
        <v> </v>
      </c>
      <c r="AF32" s="77" t="str">
        <f>IF(ISERROR(Z32*100000000/'Calc-Units'!$D$21)," ",Z32*100000000/'Calc-Units'!$D$21)</f>
        <v> </v>
      </c>
      <c r="AG32" s="77" t="str">
        <f>IF(ISERROR(AA32*100000000/'Calc-Units'!$C$21)," ",AA32*100000000/'Calc-Units'!$C$21)</f>
        <v> </v>
      </c>
      <c r="AH32" s="231" t="str">
        <f>IF(ISERROR(AB32*100000000/'Calc-Units'!$C$21)," ",AB32*100000000/'Calc-Units'!$C$21)</f>
        <v> </v>
      </c>
      <c r="AI32" s="78"/>
      <c r="AJ32" s="88">
        <v>0</v>
      </c>
      <c r="AK32" s="72">
        <f t="shared" si="3"/>
        <v>0</v>
      </c>
      <c r="AL32" s="73">
        <f t="shared" si="4"/>
        <v>1.0147458008000003</v>
      </c>
      <c r="AM32" s="72"/>
      <c r="AN32" s="72"/>
      <c r="AO32" s="75" t="str">
        <f t="shared" si="5"/>
        <v> </v>
      </c>
      <c r="AP32" s="75" t="str">
        <f t="shared" si="5"/>
        <v> </v>
      </c>
      <c r="AQ32" s="75" t="str">
        <f t="shared" si="5"/>
        <v> </v>
      </c>
      <c r="AR32" s="140" t="str">
        <f t="shared" si="5"/>
        <v> </v>
      </c>
      <c r="AS32" s="76"/>
      <c r="AT32" s="78"/>
      <c r="AU32" s="77" t="str">
        <f>IF(ISERROR(AO32*100000000/'Calc-Units'!$E$21)," ",AO32*100000000/'Calc-Units'!$E$21)</f>
        <v> </v>
      </c>
      <c r="AV32" s="77" t="str">
        <f>IF(ISERROR(AP32*100000000/'Calc-Units'!$D$21)," ",AP32*100000000/'Calc-Units'!$D$21)</f>
        <v> </v>
      </c>
      <c r="AW32" s="77" t="str">
        <f>IF(ISERROR(AQ32*100000000/'Calc-Units'!$C$21)," ",AQ32*100000000/'Calc-Units'!$C$21)</f>
        <v> </v>
      </c>
      <c r="AX32" s="231" t="str">
        <f>IF(ISERROR(AR32*100000000/'Calc-Units'!$C$21)," ",AR32*100000000/'Calc-Units'!$C$21)</f>
        <v> </v>
      </c>
      <c r="AZ32" s="70"/>
      <c r="BA32" s="70"/>
    </row>
    <row r="33" spans="1:53" s="69" customFormat="1" ht="12.75">
      <c r="A33" s="87"/>
      <c r="B33" s="104"/>
      <c r="C33" s="87" t="s">
        <v>537</v>
      </c>
      <c r="D33" s="122">
        <f>'RRP 1.3'!AE$12</f>
        <v>-5.196946326332162</v>
      </c>
      <c r="E33" s="122">
        <v>0</v>
      </c>
      <c r="F33" s="122">
        <v>0</v>
      </c>
      <c r="G33" s="122">
        <v>0</v>
      </c>
      <c r="H33" s="122">
        <v>0</v>
      </c>
      <c r="I33" s="122">
        <f t="shared" si="0"/>
        <v>-5.196946326332162</v>
      </c>
      <c r="J33" s="113"/>
      <c r="K33" s="72"/>
      <c r="L33" s="122" t="s">
        <v>237</v>
      </c>
      <c r="M33" s="133" t="str">
        <f>IF(ISERROR(VLOOKUP($L33,'Calc-Drivers'!$B$17:$F$27,M$42,FALSE))," ",VLOOKUP($L33,'Calc-Drivers'!$B$17:$F$27,M$42,FALSE))</f>
        <v> </v>
      </c>
      <c r="N33" s="133" t="str">
        <f>IF(ISERROR(VLOOKUP($L33,'Calc-Drivers'!$B$17:$F$27,N$42,FALSE))," ",VLOOKUP($L33,'Calc-Drivers'!$B$17:$F$27,N$42,FALSE))</f>
        <v> </v>
      </c>
      <c r="O33" s="133" t="str">
        <f>IF(ISERROR(VLOOKUP($L33,'Calc-Drivers'!$B$17:$F$27,O$42,FALSE))," ",VLOOKUP($L33,'Calc-Drivers'!$B$17:$F$27,O$42,FALSE))</f>
        <v> </v>
      </c>
      <c r="P33" s="133" t="str">
        <f>IF(ISERROR(VLOOKUP($L33,'Calc-Drivers'!$B$17:$F$27,P$42,FALSE))," ",VLOOKUP($L33,'Calc-Drivers'!$B$17:$F$27,P$42,FALSE))</f>
        <v> </v>
      </c>
      <c r="Q33" s="147"/>
      <c r="R33" s="74"/>
      <c r="S33" s="75" t="str">
        <f t="shared" si="1"/>
        <v> </v>
      </c>
      <c r="T33" s="75" t="str">
        <f t="shared" si="1"/>
        <v> </v>
      </c>
      <c r="U33" s="75" t="str">
        <f t="shared" si="1"/>
        <v> </v>
      </c>
      <c r="V33" s="140" t="str">
        <f t="shared" si="1"/>
        <v> </v>
      </c>
      <c r="W33" s="76"/>
      <c r="X33" s="70"/>
      <c r="Y33" s="75" t="str">
        <f t="shared" si="2"/>
        <v> </v>
      </c>
      <c r="Z33" s="75" t="str">
        <f t="shared" si="2"/>
        <v> </v>
      </c>
      <c r="AA33" s="75" t="str">
        <f t="shared" si="2"/>
        <v> </v>
      </c>
      <c r="AB33" s="140" t="str">
        <f t="shared" si="2"/>
        <v> </v>
      </c>
      <c r="AC33" s="76"/>
      <c r="AD33" s="76"/>
      <c r="AE33" s="77" t="str">
        <f>IF(ISERROR(Y33*100000000/'Calc-Units'!$E$21)," ",Y33*100000000/'Calc-Units'!$E$21)</f>
        <v> </v>
      </c>
      <c r="AF33" s="77" t="str">
        <f>IF(ISERROR(Z33*100000000/'Calc-Units'!$D$21)," ",Z33*100000000/'Calc-Units'!$D$21)</f>
        <v> </v>
      </c>
      <c r="AG33" s="77" t="str">
        <f>IF(ISERROR(AA33*100000000/'Calc-Units'!$C$21)," ",AA33*100000000/'Calc-Units'!$C$21)</f>
        <v> </v>
      </c>
      <c r="AH33" s="231" t="str">
        <f>IF(ISERROR(AB33*100000000/'Calc-Units'!$C$21)," ",AB33*100000000/'Calc-Units'!$C$21)</f>
        <v> </v>
      </c>
      <c r="AI33" s="78"/>
      <c r="AJ33" s="88">
        <v>0</v>
      </c>
      <c r="AK33" s="72">
        <f t="shared" si="3"/>
        <v>0</v>
      </c>
      <c r="AL33" s="73">
        <f t="shared" si="4"/>
        <v>-5.196946326332162</v>
      </c>
      <c r="AM33" s="72"/>
      <c r="AN33" s="72"/>
      <c r="AO33" s="75" t="str">
        <f t="shared" si="5"/>
        <v> </v>
      </c>
      <c r="AP33" s="75" t="str">
        <f t="shared" si="5"/>
        <v> </v>
      </c>
      <c r="AQ33" s="75" t="str">
        <f t="shared" si="5"/>
        <v> </v>
      </c>
      <c r="AR33" s="140" t="str">
        <f t="shared" si="5"/>
        <v> </v>
      </c>
      <c r="AS33" s="76"/>
      <c r="AT33" s="78"/>
      <c r="AU33" s="77" t="str">
        <f>IF(ISERROR(AO33*100000000/'Calc-Units'!$E$21)," ",AO33*100000000/'Calc-Units'!$E$21)</f>
        <v> </v>
      </c>
      <c r="AV33" s="77" t="str">
        <f>IF(ISERROR(AP33*100000000/'Calc-Units'!$D$21)," ",AP33*100000000/'Calc-Units'!$D$21)</f>
        <v> </v>
      </c>
      <c r="AW33" s="77" t="str">
        <f>IF(ISERROR(AQ33*100000000/'Calc-Units'!$C$21)," ",AQ33*100000000/'Calc-Units'!$C$21)</f>
        <v> </v>
      </c>
      <c r="AX33" s="231" t="str">
        <f>IF(ISERROR(AR33*100000000/'Calc-Units'!$C$21)," ",AR33*100000000/'Calc-Units'!$C$21)</f>
        <v> </v>
      </c>
      <c r="AZ33" s="70"/>
      <c r="BA33" s="70"/>
    </row>
    <row r="34" spans="1:53" s="69" customFormat="1" ht="12.75">
      <c r="A34" s="87"/>
      <c r="B34" s="104"/>
      <c r="C34" s="87" t="s">
        <v>407</v>
      </c>
      <c r="D34" s="122">
        <f>'RRP 1.3'!AF$12</f>
        <v>39.1304654503</v>
      </c>
      <c r="E34" s="122">
        <v>0</v>
      </c>
      <c r="F34" s="122">
        <v>0</v>
      </c>
      <c r="G34" s="122">
        <v>0</v>
      </c>
      <c r="H34" s="122">
        <v>0</v>
      </c>
      <c r="I34" s="122">
        <f t="shared" si="0"/>
        <v>39.1304654503</v>
      </c>
      <c r="J34" s="113"/>
      <c r="K34" s="72"/>
      <c r="L34" s="122" t="s">
        <v>237</v>
      </c>
      <c r="M34" s="133" t="str">
        <f>IF(ISERROR(VLOOKUP($L34,'Calc-Drivers'!$B$17:$F$27,M$42,FALSE))," ",VLOOKUP($L34,'Calc-Drivers'!$B$17:$F$27,M$42,FALSE))</f>
        <v> </v>
      </c>
      <c r="N34" s="133" t="str">
        <f>IF(ISERROR(VLOOKUP($L34,'Calc-Drivers'!$B$17:$F$27,N$42,FALSE))," ",VLOOKUP($L34,'Calc-Drivers'!$B$17:$F$27,N$42,FALSE))</f>
        <v> </v>
      </c>
      <c r="O34" s="133" t="str">
        <f>IF(ISERROR(VLOOKUP($L34,'Calc-Drivers'!$B$17:$F$27,O$42,FALSE))," ",VLOOKUP($L34,'Calc-Drivers'!$B$17:$F$27,O$42,FALSE))</f>
        <v> </v>
      </c>
      <c r="P34" s="133" t="str">
        <f>IF(ISERROR(VLOOKUP($L34,'Calc-Drivers'!$B$17:$F$27,P$42,FALSE))," ",VLOOKUP($L34,'Calc-Drivers'!$B$17:$F$27,P$42,FALSE))</f>
        <v> </v>
      </c>
      <c r="Q34" s="147"/>
      <c r="R34" s="74"/>
      <c r="S34" s="75" t="str">
        <f t="shared" si="1"/>
        <v> </v>
      </c>
      <c r="T34" s="75" t="str">
        <f t="shared" si="1"/>
        <v> </v>
      </c>
      <c r="U34" s="75" t="str">
        <f t="shared" si="1"/>
        <v> </v>
      </c>
      <c r="V34" s="140" t="str">
        <f t="shared" si="1"/>
        <v> </v>
      </c>
      <c r="W34" s="76"/>
      <c r="X34" s="70"/>
      <c r="Y34" s="75" t="str">
        <f t="shared" si="2"/>
        <v> </v>
      </c>
      <c r="Z34" s="75" t="str">
        <f t="shared" si="2"/>
        <v> </v>
      </c>
      <c r="AA34" s="75" t="str">
        <f t="shared" si="2"/>
        <v> </v>
      </c>
      <c r="AB34" s="140" t="str">
        <f t="shared" si="2"/>
        <v> </v>
      </c>
      <c r="AC34" s="76"/>
      <c r="AD34" s="76"/>
      <c r="AE34" s="77" t="str">
        <f>IF(ISERROR(Y34*100000000/'Calc-Units'!$E$21)," ",Y34*100000000/'Calc-Units'!$E$21)</f>
        <v> </v>
      </c>
      <c r="AF34" s="77" t="str">
        <f>IF(ISERROR(Z34*100000000/'Calc-Units'!$D$21)," ",Z34*100000000/'Calc-Units'!$D$21)</f>
        <v> </v>
      </c>
      <c r="AG34" s="77" t="str">
        <f>IF(ISERROR(AA34*100000000/'Calc-Units'!$C$21)," ",AA34*100000000/'Calc-Units'!$C$21)</f>
        <v> </v>
      </c>
      <c r="AH34" s="231" t="str">
        <f>IF(ISERROR(AB34*100000000/'Calc-Units'!$C$21)," ",AB34*100000000/'Calc-Units'!$C$21)</f>
        <v> </v>
      </c>
      <c r="AI34" s="78"/>
      <c r="AJ34" s="88">
        <v>0</v>
      </c>
      <c r="AK34" s="72">
        <f t="shared" si="3"/>
        <v>0</v>
      </c>
      <c r="AL34" s="73">
        <f t="shared" si="4"/>
        <v>39.1304654503</v>
      </c>
      <c r="AM34" s="72"/>
      <c r="AN34" s="72"/>
      <c r="AO34" s="75" t="str">
        <f t="shared" si="5"/>
        <v> </v>
      </c>
      <c r="AP34" s="75" t="str">
        <f t="shared" si="5"/>
        <v> </v>
      </c>
      <c r="AQ34" s="75" t="str">
        <f t="shared" si="5"/>
        <v> </v>
      </c>
      <c r="AR34" s="140" t="str">
        <f t="shared" si="5"/>
        <v> </v>
      </c>
      <c r="AS34" s="76"/>
      <c r="AT34" s="78"/>
      <c r="AU34" s="77" t="str">
        <f>IF(ISERROR(AO34*100000000/'Calc-Units'!$E$21)," ",AO34*100000000/'Calc-Units'!$E$21)</f>
        <v> </v>
      </c>
      <c r="AV34" s="77" t="str">
        <f>IF(ISERROR(AP34*100000000/'Calc-Units'!$D$21)," ",AP34*100000000/'Calc-Units'!$D$21)</f>
        <v> </v>
      </c>
      <c r="AW34" s="77" t="str">
        <f>IF(ISERROR(AQ34*100000000/'Calc-Units'!$C$21)," ",AQ34*100000000/'Calc-Units'!$C$21)</f>
        <v> </v>
      </c>
      <c r="AX34" s="231" t="str">
        <f>IF(ISERROR(AR34*100000000/'Calc-Units'!$C$21)," ",AR34*100000000/'Calc-Units'!$C$21)</f>
        <v> </v>
      </c>
      <c r="AZ34" s="70"/>
      <c r="BA34" s="70"/>
    </row>
    <row r="35" spans="1:53" s="69" customFormat="1" ht="12.75">
      <c r="A35" s="87"/>
      <c r="B35" s="104"/>
      <c r="C35" s="87" t="s">
        <v>408</v>
      </c>
      <c r="D35" s="122">
        <f>'RRP 1.3'!AG$12</f>
        <v>20.1842268</v>
      </c>
      <c r="E35" s="122">
        <v>0</v>
      </c>
      <c r="F35" s="122">
        <v>0</v>
      </c>
      <c r="G35" s="122">
        <v>0</v>
      </c>
      <c r="H35" s="122">
        <v>0</v>
      </c>
      <c r="I35" s="122">
        <f t="shared" si="0"/>
        <v>20.1842268</v>
      </c>
      <c r="J35" s="113"/>
      <c r="K35" s="72"/>
      <c r="L35" s="122" t="s">
        <v>237</v>
      </c>
      <c r="M35" s="133" t="str">
        <f>IF(ISERROR(VLOOKUP($L35,'Calc-Drivers'!$B$17:$F$27,M$42,FALSE))," ",VLOOKUP($L35,'Calc-Drivers'!$B$17:$F$27,M$42,FALSE))</f>
        <v> </v>
      </c>
      <c r="N35" s="133" t="str">
        <f>IF(ISERROR(VLOOKUP($L35,'Calc-Drivers'!$B$17:$F$27,N$42,FALSE))," ",VLOOKUP($L35,'Calc-Drivers'!$B$17:$F$27,N$42,FALSE))</f>
        <v> </v>
      </c>
      <c r="O35" s="133" t="str">
        <f>IF(ISERROR(VLOOKUP($L35,'Calc-Drivers'!$B$17:$F$27,O$42,FALSE))," ",VLOOKUP($L35,'Calc-Drivers'!$B$17:$F$27,O$42,FALSE))</f>
        <v> </v>
      </c>
      <c r="P35" s="133" t="str">
        <f>IF(ISERROR(VLOOKUP($L35,'Calc-Drivers'!$B$17:$F$27,P$42,FALSE))," ",VLOOKUP($L35,'Calc-Drivers'!$B$17:$F$27,P$42,FALSE))</f>
        <v> </v>
      </c>
      <c r="Q35" s="147"/>
      <c r="R35" s="74"/>
      <c r="S35" s="75" t="str">
        <f t="shared" si="1"/>
        <v> </v>
      </c>
      <c r="T35" s="75" t="str">
        <f t="shared" si="1"/>
        <v> </v>
      </c>
      <c r="U35" s="75" t="str">
        <f t="shared" si="1"/>
        <v> </v>
      </c>
      <c r="V35" s="140" t="str">
        <f t="shared" si="1"/>
        <v> </v>
      </c>
      <c r="W35" s="76"/>
      <c r="X35" s="70"/>
      <c r="Y35" s="75" t="str">
        <f t="shared" si="2"/>
        <v> </v>
      </c>
      <c r="Z35" s="75" t="str">
        <f t="shared" si="2"/>
        <v> </v>
      </c>
      <c r="AA35" s="75" t="str">
        <f t="shared" si="2"/>
        <v> </v>
      </c>
      <c r="AB35" s="140" t="str">
        <f t="shared" si="2"/>
        <v> </v>
      </c>
      <c r="AC35" s="76"/>
      <c r="AD35" s="76"/>
      <c r="AE35" s="77" t="str">
        <f>IF(ISERROR(Y35*100000000/'Calc-Units'!$E$21)," ",Y35*100000000/'Calc-Units'!$E$21)</f>
        <v> </v>
      </c>
      <c r="AF35" s="77" t="str">
        <f>IF(ISERROR(Z35*100000000/'Calc-Units'!$D$21)," ",Z35*100000000/'Calc-Units'!$D$21)</f>
        <v> </v>
      </c>
      <c r="AG35" s="77" t="str">
        <f>IF(ISERROR(AA35*100000000/'Calc-Units'!$C$21)," ",AA35*100000000/'Calc-Units'!$C$21)</f>
        <v> </v>
      </c>
      <c r="AH35" s="231" t="str">
        <f>IF(ISERROR(AB35*100000000/'Calc-Units'!$C$21)," ",AB35*100000000/'Calc-Units'!$C$21)</f>
        <v> </v>
      </c>
      <c r="AI35" s="78"/>
      <c r="AJ35" s="88">
        <v>0</v>
      </c>
      <c r="AK35" s="72">
        <f t="shared" si="3"/>
        <v>0</v>
      </c>
      <c r="AL35" s="73">
        <f t="shared" si="4"/>
        <v>20.1842268</v>
      </c>
      <c r="AM35" s="72"/>
      <c r="AN35" s="72"/>
      <c r="AO35" s="75" t="str">
        <f t="shared" si="5"/>
        <v> </v>
      </c>
      <c r="AP35" s="75" t="str">
        <f t="shared" si="5"/>
        <v> </v>
      </c>
      <c r="AQ35" s="75" t="str">
        <f t="shared" si="5"/>
        <v> </v>
      </c>
      <c r="AR35" s="140" t="str">
        <f t="shared" si="5"/>
        <v> </v>
      </c>
      <c r="AS35" s="76"/>
      <c r="AT35" s="78"/>
      <c r="AU35" s="77" t="str">
        <f>IF(ISERROR(AO35*100000000/'Calc-Units'!$E$21)," ",AO35*100000000/'Calc-Units'!$E$21)</f>
        <v> </v>
      </c>
      <c r="AV35" s="77" t="str">
        <f>IF(ISERROR(AP35*100000000/'Calc-Units'!$D$21)," ",AP35*100000000/'Calc-Units'!$D$21)</f>
        <v> </v>
      </c>
      <c r="AW35" s="77" t="str">
        <f>IF(ISERROR(AQ35*100000000/'Calc-Units'!$C$21)," ",AQ35*100000000/'Calc-Units'!$C$21)</f>
        <v> </v>
      </c>
      <c r="AX35" s="231" t="str">
        <f>IF(ISERROR(AR35*100000000/'Calc-Units'!$C$21)," ",AR35*100000000/'Calc-Units'!$C$21)</f>
        <v> </v>
      </c>
      <c r="AZ35" s="70"/>
      <c r="BA35" s="70"/>
    </row>
    <row r="36" spans="1:53" s="69" customFormat="1" ht="12.75">
      <c r="A36" s="87"/>
      <c r="B36" s="104"/>
      <c r="C36" s="87" t="s">
        <v>399</v>
      </c>
      <c r="D36" s="122">
        <f>'RRP 1.3'!AH$12</f>
        <v>8</v>
      </c>
      <c r="E36" s="122">
        <v>0</v>
      </c>
      <c r="F36" s="122">
        <v>0</v>
      </c>
      <c r="G36" s="122">
        <v>0</v>
      </c>
      <c r="H36" s="122">
        <v>0</v>
      </c>
      <c r="I36" s="122">
        <f t="shared" si="0"/>
        <v>8</v>
      </c>
      <c r="J36" s="113"/>
      <c r="K36" s="72"/>
      <c r="L36" s="1368" t="s">
        <v>237</v>
      </c>
      <c r="M36" s="133" t="str">
        <f>IF(ISERROR(VLOOKUP($L36,'Calc-Drivers'!$B$17:$F$27,M$42,FALSE))," ",VLOOKUP($L36,'Calc-Drivers'!$B$17:$F$27,M$42,FALSE))</f>
        <v> </v>
      </c>
      <c r="N36" s="133" t="str">
        <f>IF(ISERROR(VLOOKUP($L36,'Calc-Drivers'!$B$17:$F$27,N$42,FALSE))," ",VLOOKUP($L36,'Calc-Drivers'!$B$17:$F$27,N$42,FALSE))</f>
        <v> </v>
      </c>
      <c r="O36" s="133" t="str">
        <f>IF(ISERROR(VLOOKUP($L36,'Calc-Drivers'!$B$17:$F$27,O$42,FALSE))," ",VLOOKUP($L36,'Calc-Drivers'!$B$17:$F$27,O$42,FALSE))</f>
        <v> </v>
      </c>
      <c r="P36" s="133" t="str">
        <f>IF(ISERROR(VLOOKUP($L36,'Calc-Drivers'!$B$17:$F$27,P$42,FALSE))," ",VLOOKUP($L36,'Calc-Drivers'!$B$17:$F$27,P$42,FALSE))</f>
        <v> </v>
      </c>
      <c r="Q36" s="147"/>
      <c r="R36" s="74"/>
      <c r="S36" s="75" t="str">
        <f t="shared" si="1"/>
        <v> </v>
      </c>
      <c r="T36" s="75" t="str">
        <f t="shared" si="1"/>
        <v> </v>
      </c>
      <c r="U36" s="75" t="str">
        <f t="shared" si="1"/>
        <v> </v>
      </c>
      <c r="V36" s="140" t="str">
        <f t="shared" si="1"/>
        <v> </v>
      </c>
      <c r="W36" s="76"/>
      <c r="X36" s="70"/>
      <c r="Y36" s="75" t="str">
        <f t="shared" si="2"/>
        <v> </v>
      </c>
      <c r="Z36" s="75" t="str">
        <f t="shared" si="2"/>
        <v> </v>
      </c>
      <c r="AA36" s="75" t="str">
        <f t="shared" si="2"/>
        <v> </v>
      </c>
      <c r="AB36" s="140" t="str">
        <f t="shared" si="2"/>
        <v> </v>
      </c>
      <c r="AC36" s="76"/>
      <c r="AD36" s="76"/>
      <c r="AE36" s="77" t="str">
        <f>IF(ISERROR(Y36*100000000/'Calc-Units'!$E$21)," ",Y36*100000000/'Calc-Units'!$E$21)</f>
        <v> </v>
      </c>
      <c r="AF36" s="77" t="str">
        <f>IF(ISERROR(Z36*100000000/'Calc-Units'!$D$21)," ",Z36*100000000/'Calc-Units'!$D$21)</f>
        <v> </v>
      </c>
      <c r="AG36" s="77" t="str">
        <f>IF(ISERROR(AA36*100000000/'Calc-Units'!$C$21)," ",AA36*100000000/'Calc-Units'!$C$21)</f>
        <v> </v>
      </c>
      <c r="AH36" s="231" t="str">
        <f>IF(ISERROR(AB36*100000000/'Calc-Units'!$C$21)," ",AB36*100000000/'Calc-Units'!$C$21)</f>
        <v> </v>
      </c>
      <c r="AI36" s="78"/>
      <c r="AJ36" s="88">
        <v>0</v>
      </c>
      <c r="AK36" s="72">
        <f t="shared" si="3"/>
        <v>0</v>
      </c>
      <c r="AL36" s="73">
        <f t="shared" si="4"/>
        <v>8</v>
      </c>
      <c r="AM36" s="72"/>
      <c r="AN36" s="72"/>
      <c r="AO36" s="75" t="str">
        <f t="shared" si="5"/>
        <v> </v>
      </c>
      <c r="AP36" s="75" t="str">
        <f t="shared" si="5"/>
        <v> </v>
      </c>
      <c r="AQ36" s="75" t="str">
        <f t="shared" si="5"/>
        <v> </v>
      </c>
      <c r="AR36" s="140" t="str">
        <f t="shared" si="5"/>
        <v> </v>
      </c>
      <c r="AS36" s="76"/>
      <c r="AT36" s="78"/>
      <c r="AU36" s="77" t="str">
        <f>IF(ISERROR(AO36*100000000/'Calc-Units'!$E$21)," ",AO36*100000000/'Calc-Units'!$E$21)</f>
        <v> </v>
      </c>
      <c r="AV36" s="77" t="str">
        <f>IF(ISERROR(AP36*100000000/'Calc-Units'!$D$21)," ",AP36*100000000/'Calc-Units'!$D$21)</f>
        <v> </v>
      </c>
      <c r="AW36" s="77" t="str">
        <f>IF(ISERROR(AQ36*100000000/'Calc-Units'!$C$21)," ",AQ36*100000000/'Calc-Units'!$C$21)</f>
        <v> </v>
      </c>
      <c r="AX36" s="231" t="str">
        <f>IF(ISERROR(AR36*100000000/'Calc-Units'!$C$21)," ",AR36*100000000/'Calc-Units'!$C$21)</f>
        <v> </v>
      </c>
      <c r="AZ36" s="70"/>
      <c r="BA36" s="70"/>
    </row>
    <row r="37" spans="1:53" s="69" customFormat="1" ht="12.75">
      <c r="A37" s="87"/>
      <c r="B37" s="104"/>
      <c r="C37" s="87" t="s">
        <v>267</v>
      </c>
      <c r="D37" s="122">
        <f>'RRP 1.3'!AI$12</f>
        <v>-7.62</v>
      </c>
      <c r="E37" s="122">
        <v>0</v>
      </c>
      <c r="F37" s="122">
        <v>0</v>
      </c>
      <c r="G37" s="122">
        <v>0</v>
      </c>
      <c r="H37" s="122">
        <v>0</v>
      </c>
      <c r="I37" s="122">
        <f t="shared" si="0"/>
        <v>-7.62</v>
      </c>
      <c r="J37" s="113"/>
      <c r="K37" s="72"/>
      <c r="L37" s="122" t="s">
        <v>237</v>
      </c>
      <c r="M37" s="133" t="str">
        <f>IF(ISERROR(VLOOKUP($L37,'Calc-Drivers'!$B$17:$F$27,M$42,FALSE))," ",VLOOKUP($L37,'Calc-Drivers'!$B$17:$F$27,M$42,FALSE))</f>
        <v> </v>
      </c>
      <c r="N37" s="133" t="str">
        <f>IF(ISERROR(VLOOKUP($L37,'Calc-Drivers'!$B$17:$F$27,N$42,FALSE))," ",VLOOKUP($L37,'Calc-Drivers'!$B$17:$F$27,N$42,FALSE))</f>
        <v> </v>
      </c>
      <c r="O37" s="133" t="str">
        <f>IF(ISERROR(VLOOKUP($L37,'Calc-Drivers'!$B$17:$F$27,O$42,FALSE))," ",VLOOKUP($L37,'Calc-Drivers'!$B$17:$F$27,O$42,FALSE))</f>
        <v> </v>
      </c>
      <c r="P37" s="133" t="str">
        <f>IF(ISERROR(VLOOKUP($L37,'Calc-Drivers'!$B$17:$F$27,P$42,FALSE))," ",VLOOKUP($L37,'Calc-Drivers'!$B$17:$F$27,P$42,FALSE))</f>
        <v> </v>
      </c>
      <c r="Q37" s="147"/>
      <c r="R37" s="74"/>
      <c r="S37" s="75" t="str">
        <f t="shared" si="1"/>
        <v> </v>
      </c>
      <c r="T37" s="75" t="str">
        <f t="shared" si="1"/>
        <v> </v>
      </c>
      <c r="U37" s="75" t="str">
        <f t="shared" si="1"/>
        <v> </v>
      </c>
      <c r="V37" s="140" t="str">
        <f t="shared" si="1"/>
        <v> </v>
      </c>
      <c r="W37" s="76"/>
      <c r="X37" s="70"/>
      <c r="Y37" s="75" t="str">
        <f t="shared" si="2"/>
        <v> </v>
      </c>
      <c r="Z37" s="75" t="str">
        <f t="shared" si="2"/>
        <v> </v>
      </c>
      <c r="AA37" s="75" t="str">
        <f t="shared" si="2"/>
        <v> </v>
      </c>
      <c r="AB37" s="140" t="str">
        <f t="shared" si="2"/>
        <v> </v>
      </c>
      <c r="AC37" s="76"/>
      <c r="AD37" s="76"/>
      <c r="AE37" s="77" t="str">
        <f>IF(ISERROR(Y37*100000000/'Calc-Units'!$E$21)," ",Y37*100000000/'Calc-Units'!$E$21)</f>
        <v> </v>
      </c>
      <c r="AF37" s="77" t="str">
        <f>IF(ISERROR(Z37*100000000/'Calc-Units'!$D$21)," ",Z37*100000000/'Calc-Units'!$D$21)</f>
        <v> </v>
      </c>
      <c r="AG37" s="77" t="str">
        <f>IF(ISERROR(AA37*100000000/'Calc-Units'!$C$21)," ",AA37*100000000/'Calc-Units'!$C$21)</f>
        <v> </v>
      </c>
      <c r="AH37" s="231" t="str">
        <f>IF(ISERROR(AB37*100000000/'Calc-Units'!$C$21)," ",AB37*100000000/'Calc-Units'!$C$21)</f>
        <v> </v>
      </c>
      <c r="AI37" s="78"/>
      <c r="AJ37" s="88">
        <v>0</v>
      </c>
      <c r="AK37" s="72">
        <f t="shared" si="3"/>
        <v>0</v>
      </c>
      <c r="AL37" s="73">
        <f t="shared" si="4"/>
        <v>-7.62</v>
      </c>
      <c r="AM37" s="72"/>
      <c r="AN37" s="72"/>
      <c r="AO37" s="75" t="str">
        <f t="shared" si="5"/>
        <v> </v>
      </c>
      <c r="AP37" s="75" t="str">
        <f t="shared" si="5"/>
        <v> </v>
      </c>
      <c r="AQ37" s="75" t="str">
        <f t="shared" si="5"/>
        <v> </v>
      </c>
      <c r="AR37" s="140" t="str">
        <f t="shared" si="5"/>
        <v> </v>
      </c>
      <c r="AS37" s="76"/>
      <c r="AT37" s="78"/>
      <c r="AU37" s="77" t="str">
        <f>IF(ISERROR(AO37*100000000/'Calc-Units'!$E$21)," ",AO37*100000000/'Calc-Units'!$E$21)</f>
        <v> </v>
      </c>
      <c r="AV37" s="77" t="str">
        <f>IF(ISERROR(AP37*100000000/'Calc-Units'!$D$21)," ",AP37*100000000/'Calc-Units'!$D$21)</f>
        <v> </v>
      </c>
      <c r="AW37" s="77" t="str">
        <f>IF(ISERROR(AQ37*100000000/'Calc-Units'!$C$21)," ",AQ37*100000000/'Calc-Units'!$C$21)</f>
        <v> </v>
      </c>
      <c r="AX37" s="231" t="str">
        <f>IF(ISERROR(AR37*100000000/'Calc-Units'!$C$21)," ",AR37*100000000/'Calc-Units'!$C$21)</f>
        <v> </v>
      </c>
      <c r="AZ37" s="70"/>
      <c r="BA37" s="70"/>
    </row>
    <row r="38" spans="1:53" s="69" customFormat="1" ht="12.75">
      <c r="A38" s="87"/>
      <c r="B38" s="104"/>
      <c r="C38" s="90" t="s">
        <v>268</v>
      </c>
      <c r="D38" s="123">
        <f>'RRP 1.3'!AJ$12</f>
        <v>2.470943707493632</v>
      </c>
      <c r="E38" s="123">
        <v>0</v>
      </c>
      <c r="F38" s="123">
        <v>0</v>
      </c>
      <c r="G38" s="123">
        <v>0</v>
      </c>
      <c r="H38" s="123">
        <v>0</v>
      </c>
      <c r="I38" s="123">
        <f t="shared" si="0"/>
        <v>2.470943707493632</v>
      </c>
      <c r="J38" s="113"/>
      <c r="K38" s="72"/>
      <c r="L38" s="123" t="s">
        <v>237</v>
      </c>
      <c r="M38" s="227" t="str">
        <f>IF(ISERROR(VLOOKUP($L38,'Calc-Drivers'!$B$17:$F$27,M$42,FALSE))," ",VLOOKUP($L38,'Calc-Drivers'!$B$17:$F$27,M$42,FALSE))</f>
        <v> </v>
      </c>
      <c r="N38" s="227" t="str">
        <f>IF(ISERROR(VLOOKUP($L38,'Calc-Drivers'!$B$17:$F$27,N$42,FALSE))," ",VLOOKUP($L38,'Calc-Drivers'!$B$17:$F$27,N$42,FALSE))</f>
        <v> </v>
      </c>
      <c r="O38" s="227" t="str">
        <f>IF(ISERROR(VLOOKUP($L38,'Calc-Drivers'!$B$17:$F$27,O$42,FALSE))," ",VLOOKUP($L38,'Calc-Drivers'!$B$17:$F$27,O$42,FALSE))</f>
        <v> </v>
      </c>
      <c r="P38" s="227" t="str">
        <f>IF(ISERROR(VLOOKUP($L38,'Calc-Drivers'!$B$17:$F$27,P$42,FALSE))," ",VLOOKUP($L38,'Calc-Drivers'!$B$17:$F$27,P$42,FALSE))</f>
        <v> </v>
      </c>
      <c r="Q38" s="147"/>
      <c r="R38" s="74"/>
      <c r="S38" s="144" t="str">
        <f t="shared" si="1"/>
        <v> </v>
      </c>
      <c r="T38" s="144" t="str">
        <f t="shared" si="1"/>
        <v> </v>
      </c>
      <c r="U38" s="144" t="str">
        <f t="shared" si="1"/>
        <v> </v>
      </c>
      <c r="V38" s="141" t="str">
        <f t="shared" si="1"/>
        <v> </v>
      </c>
      <c r="W38" s="76"/>
      <c r="X38" s="70"/>
      <c r="Y38" s="144" t="str">
        <f t="shared" si="2"/>
        <v> </v>
      </c>
      <c r="Z38" s="144" t="str">
        <f t="shared" si="2"/>
        <v> </v>
      </c>
      <c r="AA38" s="144" t="str">
        <f t="shared" si="2"/>
        <v> </v>
      </c>
      <c r="AB38" s="141" t="str">
        <f t="shared" si="2"/>
        <v> </v>
      </c>
      <c r="AC38" s="76"/>
      <c r="AD38" s="76"/>
      <c r="AE38" s="232" t="str">
        <f>IF(ISERROR(Y38*100000000/'Calc-Units'!$E$21)," ",Y38*100000000/'Calc-Units'!$E$21)</f>
        <v> </v>
      </c>
      <c r="AF38" s="232" t="str">
        <f>IF(ISERROR(Z38*100000000/'Calc-Units'!$D$21)," ",Z38*100000000/'Calc-Units'!$D$21)</f>
        <v> </v>
      </c>
      <c r="AG38" s="232" t="str">
        <f>IF(ISERROR(AA38*100000000/'Calc-Units'!$C$21)," ",AA38*100000000/'Calc-Units'!$C$21)</f>
        <v> </v>
      </c>
      <c r="AH38" s="233" t="str">
        <f>IF(ISERROR(AB38*100000000/'Calc-Units'!$C$21)," ",AB38*100000000/'Calc-Units'!$C$21)</f>
        <v> </v>
      </c>
      <c r="AI38" s="78"/>
      <c r="AJ38" s="88">
        <v>0</v>
      </c>
      <c r="AK38" s="72">
        <f t="shared" si="3"/>
        <v>0</v>
      </c>
      <c r="AL38" s="73">
        <f t="shared" si="4"/>
        <v>2.470943707493632</v>
      </c>
      <c r="AM38" s="72"/>
      <c r="AN38" s="72"/>
      <c r="AO38" s="144" t="str">
        <f t="shared" si="5"/>
        <v> </v>
      </c>
      <c r="AP38" s="144" t="str">
        <f t="shared" si="5"/>
        <v> </v>
      </c>
      <c r="AQ38" s="144" t="str">
        <f t="shared" si="5"/>
        <v> </v>
      </c>
      <c r="AR38" s="141" t="str">
        <f t="shared" si="5"/>
        <v> </v>
      </c>
      <c r="AS38" s="76"/>
      <c r="AT38" s="78"/>
      <c r="AU38" s="232" t="str">
        <f>IF(ISERROR(AO38*100000000/'Calc-Units'!$E$21)," ",AO38*100000000/'Calc-Units'!$E$21)</f>
        <v> </v>
      </c>
      <c r="AV38" s="232" t="str">
        <f>IF(ISERROR(AP38*100000000/'Calc-Units'!$D$21)," ",AP38*100000000/'Calc-Units'!$D$21)</f>
        <v> </v>
      </c>
      <c r="AW38" s="232" t="str">
        <f>IF(ISERROR(AQ38*100000000/'Calc-Units'!$C$21)," ",AQ38*100000000/'Calc-Units'!$C$21)</f>
        <v> </v>
      </c>
      <c r="AX38" s="233" t="str">
        <f>IF(ISERROR(AR38*100000000/'Calc-Units'!$C$21)," ",AR38*100000000/'Calc-Units'!$C$21)</f>
        <v> </v>
      </c>
      <c r="AZ38" s="70"/>
      <c r="BA38" s="70"/>
    </row>
    <row r="39" spans="1:53" s="69" customFormat="1" ht="25.5">
      <c r="A39" s="108"/>
      <c r="B39" s="253"/>
      <c r="C39" s="108" t="s">
        <v>293</v>
      </c>
      <c r="D39" s="124">
        <f>SUM(D6:D38)</f>
        <v>299</v>
      </c>
      <c r="E39" s="124">
        <f>SUM(E6:E38)</f>
        <v>50.10800884634458</v>
      </c>
      <c r="F39" s="124">
        <f>SUM(F6:F38)</f>
        <v>48.76544653398838</v>
      </c>
      <c r="G39" s="124">
        <f>SUM(G6:G38)</f>
        <v>12.794773386254157</v>
      </c>
      <c r="H39" s="124">
        <f>SUM(H6:H38)</f>
        <v>19.401749813401153</v>
      </c>
      <c r="I39" s="124">
        <f t="shared" si="0"/>
        <v>167.93002142001174</v>
      </c>
      <c r="J39" s="113"/>
      <c r="K39" s="76"/>
      <c r="L39" s="157"/>
      <c r="M39" s="157"/>
      <c r="N39" s="157"/>
      <c r="O39" s="157"/>
      <c r="P39" s="157"/>
      <c r="Q39" s="146"/>
      <c r="R39" s="1315" t="s">
        <v>816</v>
      </c>
      <c r="S39" s="125">
        <f>SUM(S6:S38)</f>
        <v>26.4335615819456</v>
      </c>
      <c r="T39" s="125">
        <f>SUM(T6:T38)</f>
        <v>9.222152422907065</v>
      </c>
      <c r="U39" s="125">
        <f>SUM(U6:U38)</f>
        <v>2.4788016236827075</v>
      </c>
      <c r="V39" s="125">
        <f>SUM(V6:V38)</f>
        <v>32.00260847139292</v>
      </c>
      <c r="W39" s="146"/>
      <c r="X39" s="1316" t="s">
        <v>442</v>
      </c>
      <c r="Y39" s="1431">
        <f>SUM(Y40:AB40)</f>
        <v>201.2071026799166</v>
      </c>
      <c r="Z39" s="1431"/>
      <c r="AA39" s="1431"/>
      <c r="AB39" s="1431"/>
      <c r="AC39" s="76"/>
      <c r="AD39" s="1316" t="s">
        <v>442</v>
      </c>
      <c r="AE39" s="1427">
        <f>SUM(AE40:AH40)</f>
        <v>0.9038330862542912</v>
      </c>
      <c r="AF39" s="1427"/>
      <c r="AG39" s="1427"/>
      <c r="AH39" s="1427"/>
      <c r="AI39" s="78"/>
      <c r="AJ39" s="125" t="s">
        <v>816</v>
      </c>
      <c r="AK39" s="125">
        <f>SUM(AK6:AK38)</f>
        <v>153.21038052366586</v>
      </c>
      <c r="AL39" s="158">
        <f>SUM(AL6:AL38)</f>
        <v>145.78961947633414</v>
      </c>
      <c r="AM39" s="159"/>
      <c r="AN39" s="1317" t="s">
        <v>442</v>
      </c>
      <c r="AO39" s="1427">
        <f>SUM(AO40:AR40)</f>
        <v>61.303057958715144</v>
      </c>
      <c r="AP39" s="1427"/>
      <c r="AQ39" s="1427"/>
      <c r="AR39" s="1427"/>
      <c r="AS39" s="1318"/>
      <c r="AT39" s="1316" t="s">
        <v>442</v>
      </c>
      <c r="AU39" s="1427">
        <f>SUM(AU40:AX40)</f>
        <v>0.3028359082967109</v>
      </c>
      <c r="AV39" s="1427"/>
      <c r="AW39" s="1427"/>
      <c r="AX39" s="1427"/>
      <c r="AZ39" s="70"/>
      <c r="BA39" s="70"/>
    </row>
    <row r="40" spans="1:53" s="69" customFormat="1" ht="12.75">
      <c r="A40" s="102"/>
      <c r="B40" s="254"/>
      <c r="C40" s="145"/>
      <c r="D40" s="146"/>
      <c r="E40" s="146"/>
      <c r="F40" s="146"/>
      <c r="G40" s="146"/>
      <c r="H40" s="146"/>
      <c r="I40" s="146"/>
      <c r="J40" s="113"/>
      <c r="K40" s="76"/>
      <c r="L40" s="72"/>
      <c r="M40" s="72"/>
      <c r="N40" s="72"/>
      <c r="O40" s="72"/>
      <c r="P40" s="72"/>
      <c r="Q40" s="72"/>
      <c r="R40" s="148"/>
      <c r="S40" s="149"/>
      <c r="T40" s="149"/>
      <c r="U40" s="149"/>
      <c r="V40" s="149"/>
      <c r="W40" s="76"/>
      <c r="X40" s="1316" t="s">
        <v>443</v>
      </c>
      <c r="Y40" s="1319">
        <f>SUM(Y6:Y38)</f>
        <v>76.5415704282902</v>
      </c>
      <c r="Z40" s="1319">
        <f>SUM(Z6:Z38)</f>
        <v>57.98759895689546</v>
      </c>
      <c r="AA40" s="1319">
        <f>SUM(AA6:AA38)</f>
        <v>15.273575009936868</v>
      </c>
      <c r="AB40" s="1319">
        <f>SUM(AB6:AB38)</f>
        <v>51.40435828479407</v>
      </c>
      <c r="AC40" s="76"/>
      <c r="AD40" s="1316" t="s">
        <v>443</v>
      </c>
      <c r="AE40" s="1320">
        <f>SUM(AE6:AE38)</f>
        <v>0.28934489409562913</v>
      </c>
      <c r="AF40" s="1320">
        <f>SUM(AF6:AF38)</f>
        <v>0.22419356973574614</v>
      </c>
      <c r="AG40" s="1320">
        <f>SUM(AG6:AG38)</f>
        <v>0.08940280385118747</v>
      </c>
      <c r="AH40" s="1320">
        <f>SUM(AH6:AH38)</f>
        <v>0.30089181857172836</v>
      </c>
      <c r="AI40" s="78"/>
      <c r="AJ40" s="157"/>
      <c r="AK40" s="157"/>
      <c r="AL40" s="157"/>
      <c r="AM40" s="146"/>
      <c r="AN40" s="1316" t="s">
        <v>443</v>
      </c>
      <c r="AO40" s="1320">
        <f>SUM(AO6:AO38)</f>
        <v>15.340742709529394</v>
      </c>
      <c r="AP40" s="1320">
        <f>SUM(AP6:AP38)</f>
        <v>12.17436274989153</v>
      </c>
      <c r="AQ40" s="1320">
        <f>SUM(AQ6:AQ38)</f>
        <v>5.49878072963193</v>
      </c>
      <c r="AR40" s="1321">
        <f>SUM(AR6:AR38)</f>
        <v>28.289171769662286</v>
      </c>
      <c r="AS40" s="1322"/>
      <c r="AT40" s="1316" t="s">
        <v>443</v>
      </c>
      <c r="AU40" s="1320">
        <f>SUM(AU6:AU38)</f>
        <v>0.057991566540898765</v>
      </c>
      <c r="AV40" s="1320">
        <f>SUM(AV6:AV38)</f>
        <v>0.047068923239690634</v>
      </c>
      <c r="AW40" s="1320">
        <f>SUM(AW6:AW38)</f>
        <v>0.03218672869135992</v>
      </c>
      <c r="AX40" s="1320">
        <f>SUM(AX6:AX38)</f>
        <v>0.16558868982476163</v>
      </c>
      <c r="AZ40" s="70"/>
      <c r="BA40" s="70"/>
    </row>
    <row r="41" spans="1:53" s="69" customFormat="1" ht="12.75">
      <c r="A41" s="102"/>
      <c r="B41" s="145"/>
      <c r="C41" s="145"/>
      <c r="D41" s="146"/>
      <c r="E41" s="146"/>
      <c r="F41" s="146"/>
      <c r="G41" s="146"/>
      <c r="H41" s="146"/>
      <c r="I41" s="146"/>
      <c r="J41" s="113"/>
      <c r="K41" s="76"/>
      <c r="L41" s="72"/>
      <c r="M41" s="150"/>
      <c r="N41" s="72"/>
      <c r="O41" s="72"/>
      <c r="P41" s="72"/>
      <c r="Q41" s="72"/>
      <c r="R41" s="74"/>
      <c r="S41" s="76"/>
      <c r="T41" s="76"/>
      <c r="U41" s="76"/>
      <c r="V41" s="76"/>
      <c r="W41" s="76"/>
      <c r="X41" s="1316" t="s">
        <v>444</v>
      </c>
      <c r="Y41" s="1323">
        <f>Y40/$Y$39</f>
        <v>0.3804118711954902</v>
      </c>
      <c r="Z41" s="1323">
        <f>Z40/$Y$39</f>
        <v>0.2881985684627796</v>
      </c>
      <c r="AA41" s="1323">
        <f>AA40/$Y$39</f>
        <v>0.07590972091196159</v>
      </c>
      <c r="AB41" s="1323">
        <f>AB40/$Y$39</f>
        <v>0.25547983942976865</v>
      </c>
      <c r="AC41" s="76"/>
      <c r="AD41" s="1316" t="s">
        <v>444</v>
      </c>
      <c r="AE41" s="1323">
        <f>AE40/$AE$39</f>
        <v>0.3201308941839541</v>
      </c>
      <c r="AF41" s="1323">
        <f>AF40/$AE$39</f>
        <v>0.248047535706908</v>
      </c>
      <c r="AG41" s="1323">
        <f>AG40/$AE$39</f>
        <v>0.09891517052301647</v>
      </c>
      <c r="AH41" s="1323">
        <f>AH40/$AE$39</f>
        <v>0.3329063995861214</v>
      </c>
      <c r="AI41" s="78"/>
      <c r="AJ41" s="146"/>
      <c r="AK41" s="146"/>
      <c r="AL41" s="146"/>
      <c r="AM41" s="146"/>
      <c r="AN41" s="1316" t="s">
        <v>444</v>
      </c>
      <c r="AO41" s="1324">
        <f>AO40/$AO$39</f>
        <v>0.25024433071284463</v>
      </c>
      <c r="AP41" s="1324">
        <f>AP40/$AO$39</f>
        <v>0.19859307439590398</v>
      </c>
      <c r="AQ41" s="1324">
        <f>AQ40/$AO$39</f>
        <v>0.08969831053672904</v>
      </c>
      <c r="AR41" s="1325">
        <f>AR40/$AO$39</f>
        <v>0.4614642843545223</v>
      </c>
      <c r="AS41" s="1326"/>
      <c r="AT41" s="1316" t="s">
        <v>444</v>
      </c>
      <c r="AU41" s="1323">
        <f>AU40/$AU$39</f>
        <v>0.1914950141384162</v>
      </c>
      <c r="AV41" s="1323">
        <f>AV40/$AU$39</f>
        <v>0.15542715361737652</v>
      </c>
      <c r="AW41" s="1323">
        <f>AW40/$AU$39</f>
        <v>0.10628438639391528</v>
      </c>
      <c r="AX41" s="1323">
        <f>AX40/$AU$39</f>
        <v>0.5467934458502921</v>
      </c>
      <c r="AZ41" s="70"/>
      <c r="BA41" s="70"/>
    </row>
    <row r="42" spans="1:50" s="1328" customFormat="1" ht="12.75">
      <c r="A42" s="1411"/>
      <c r="B42" s="1411"/>
      <c r="C42" s="91"/>
      <c r="D42" s="1327"/>
      <c r="I42" s="1329"/>
      <c r="J42" s="114"/>
      <c r="K42" s="93"/>
      <c r="L42" s="129"/>
      <c r="M42" s="129">
        <v>5</v>
      </c>
      <c r="N42" s="129">
        <v>4</v>
      </c>
      <c r="O42" s="129">
        <v>3</v>
      </c>
      <c r="P42" s="129">
        <v>2</v>
      </c>
      <c r="Q42" s="129"/>
      <c r="R42" s="1330"/>
      <c r="S42" s="1329"/>
      <c r="T42" s="1329"/>
      <c r="U42" s="1329"/>
      <c r="V42" s="1329"/>
      <c r="W42" s="1329"/>
      <c r="X42" s="1331"/>
      <c r="Y42" s="1332"/>
      <c r="Z42" s="1333"/>
      <c r="AA42" s="1333"/>
      <c r="AB42" s="1333"/>
      <c r="AC42" s="1329"/>
      <c r="AD42" s="1329"/>
      <c r="AE42" s="1334"/>
      <c r="AF42" s="1334"/>
      <c r="AG42" s="1334"/>
      <c r="AH42" s="1334"/>
      <c r="AI42" s="1334"/>
      <c r="AJ42" s="92"/>
      <c r="AK42" s="93"/>
      <c r="AL42" s="93"/>
      <c r="AM42" s="93"/>
      <c r="AN42" s="93"/>
      <c r="AO42" s="1329" t="s">
        <v>157</v>
      </c>
      <c r="AP42" s="1329"/>
      <c r="AQ42" s="1329"/>
      <c r="AR42" s="1329"/>
      <c r="AS42" s="1329"/>
      <c r="AT42" s="1334"/>
      <c r="AU42" s="1334"/>
      <c r="AV42" s="1334"/>
      <c r="AW42" s="1334"/>
      <c r="AX42" s="1334"/>
    </row>
    <row r="43" spans="1:50" s="1328" customFormat="1" ht="12.75">
      <c r="A43" s="1411"/>
      <c r="B43" s="1411"/>
      <c r="C43" s="91"/>
      <c r="D43" s="1335"/>
      <c r="I43" s="1329"/>
      <c r="J43" s="114"/>
      <c r="K43" s="93"/>
      <c r="M43" s="1330"/>
      <c r="N43" s="1330"/>
      <c r="O43" s="1330"/>
      <c r="P43" s="1330"/>
      <c r="Q43" s="1330"/>
      <c r="R43" s="1330"/>
      <c r="S43" s="1329"/>
      <c r="T43" s="1329"/>
      <c r="U43" s="1329"/>
      <c r="V43" s="1329"/>
      <c r="W43" s="1329"/>
      <c r="X43" s="1336"/>
      <c r="Y43" s="1337"/>
      <c r="Z43" s="1338"/>
      <c r="AA43" s="1338"/>
      <c r="AB43" s="1338"/>
      <c r="AC43" s="1329"/>
      <c r="AD43" s="1329"/>
      <c r="AE43" s="1334"/>
      <c r="AF43" s="1334"/>
      <c r="AG43" s="1334"/>
      <c r="AH43" s="1334"/>
      <c r="AI43" s="1334"/>
      <c r="AJ43" s="92"/>
      <c r="AK43" s="93"/>
      <c r="AL43" s="93"/>
      <c r="AM43" s="93"/>
      <c r="AN43" s="93"/>
      <c r="AO43" s="1329"/>
      <c r="AP43" s="1329"/>
      <c r="AQ43" s="1329"/>
      <c r="AR43" s="1329"/>
      <c r="AS43" s="1329"/>
      <c r="AT43" s="1334"/>
      <c r="AU43" s="1334"/>
      <c r="AV43" s="1334"/>
      <c r="AW43" s="1334"/>
      <c r="AX43" s="1334"/>
    </row>
    <row r="44" spans="1:50" s="1328" customFormat="1" ht="12.75">
      <c r="A44" s="1411"/>
      <c r="B44" s="1411"/>
      <c r="C44" s="91"/>
      <c r="D44" s="1327"/>
      <c r="I44" s="1329"/>
      <c r="J44" s="114"/>
      <c r="K44" s="93"/>
      <c r="M44" s="1330"/>
      <c r="N44" s="1330"/>
      <c r="O44" s="1330"/>
      <c r="P44" s="1330"/>
      <c r="Q44" s="1330"/>
      <c r="R44" s="1330"/>
      <c r="S44" s="1329"/>
      <c r="T44" s="1329"/>
      <c r="U44" s="1329"/>
      <c r="V44" s="1329"/>
      <c r="W44" s="1329"/>
      <c r="X44" s="1328" t="s">
        <v>590</v>
      </c>
      <c r="AC44" s="1329"/>
      <c r="AD44" s="1329"/>
      <c r="AE44" s="1334"/>
      <c r="AF44" s="1334"/>
      <c r="AG44" s="1334"/>
      <c r="AH44" s="1334"/>
      <c r="AI44" s="1334"/>
      <c r="AJ44" s="92"/>
      <c r="AK44" s="93"/>
      <c r="AL44" s="93"/>
      <c r="AM44" s="93"/>
      <c r="AN44" s="93"/>
      <c r="AO44" s="1329"/>
      <c r="AP44" s="1329"/>
      <c r="AQ44" s="1329"/>
      <c r="AR44" s="1329"/>
      <c r="AS44" s="1329"/>
      <c r="AT44" s="1334"/>
      <c r="AU44" s="1334"/>
      <c r="AV44" s="1334"/>
      <c r="AW44" s="1334"/>
      <c r="AX44" s="1334"/>
    </row>
    <row r="45" spans="1:50" s="1328" customFormat="1" ht="12.75">
      <c r="A45" s="1411"/>
      <c r="B45" s="1411"/>
      <c r="C45" s="91"/>
      <c r="D45" s="1327"/>
      <c r="I45" s="1329"/>
      <c r="J45" s="114"/>
      <c r="K45" s="93"/>
      <c r="M45" s="1330"/>
      <c r="N45" s="1330"/>
      <c r="O45" s="1330"/>
      <c r="P45" s="1330"/>
      <c r="Q45" s="1330"/>
      <c r="R45" s="1330"/>
      <c r="S45" s="1329"/>
      <c r="T45" s="1329"/>
      <c r="U45" s="1329"/>
      <c r="V45" s="1329"/>
      <c r="W45" s="1329"/>
      <c r="AC45" s="1329"/>
      <c r="AD45" s="1329"/>
      <c r="AE45" s="1334"/>
      <c r="AF45" s="1334"/>
      <c r="AG45" s="1334"/>
      <c r="AH45" s="1334"/>
      <c r="AI45" s="1334"/>
      <c r="AJ45" s="92"/>
      <c r="AK45" s="93"/>
      <c r="AL45" s="93"/>
      <c r="AM45" s="93"/>
      <c r="AN45" s="93"/>
      <c r="AO45" s="1329"/>
      <c r="AP45" s="1329"/>
      <c r="AQ45" s="1329"/>
      <c r="AR45" s="1329"/>
      <c r="AS45" s="1329"/>
      <c r="AT45" s="1334"/>
      <c r="AU45" s="1334"/>
      <c r="AV45" s="1334"/>
      <c r="AW45" s="1334"/>
      <c r="AX45" s="1334"/>
    </row>
    <row r="46" spans="1:50" s="1328" customFormat="1" ht="12.75">
      <c r="A46" s="1411"/>
      <c r="B46" s="1411"/>
      <c r="C46" s="91"/>
      <c r="D46" s="1327"/>
      <c r="I46" s="1329"/>
      <c r="J46" s="114"/>
      <c r="K46" s="93"/>
      <c r="M46" s="1330"/>
      <c r="N46" s="1330"/>
      <c r="O46" s="1330"/>
      <c r="P46" s="1330"/>
      <c r="Q46" s="1330"/>
      <c r="R46" s="1330"/>
      <c r="S46" s="1329"/>
      <c r="T46" s="1329"/>
      <c r="U46" s="1329"/>
      <c r="V46" s="1329"/>
      <c r="W46" s="1329"/>
      <c r="X46" s="1331" t="s">
        <v>260</v>
      </c>
      <c r="Y46" s="1332">
        <f>SUMIF(Y6:Y11,"&gt;0",Y6:Y11)+SUMIF(Y27:Y38,"&gt;0",Y27:Y38)</f>
        <v>54.630038216848384</v>
      </c>
      <c r="Z46" s="1332">
        <f>SUMIF(Z6:Z11,"&gt;0",Z6:Z11)+SUMIF(Z27:Z38,"&gt;0",Z27:Z38)</f>
        <v>50.00389390014906</v>
      </c>
      <c r="AA46" s="1332">
        <f>SUMIF(AA6:AA11,"&gt;0",AA6:AA11)+SUMIF(AA27:AA38,"&gt;0",AA27:AA38)</f>
        <v>13.269582398644378</v>
      </c>
      <c r="AB46" s="1332">
        <f>SUMIF(AB6:AB11,"&gt;0",AB6:AB11)+SUMIF(AB27:AB38,"&gt;0",AB27:AB38)</f>
        <v>37.616109438360894</v>
      </c>
      <c r="AC46" s="1328" t="s">
        <v>591</v>
      </c>
      <c r="AD46" s="1329"/>
      <c r="AE46" s="1334"/>
      <c r="AF46" s="1334"/>
      <c r="AG46" s="1334"/>
      <c r="AH46" s="1334"/>
      <c r="AI46" s="1334"/>
      <c r="AJ46" s="92"/>
      <c r="AK46" s="93"/>
      <c r="AL46" s="93"/>
      <c r="AM46" s="93"/>
      <c r="AN46" s="93"/>
      <c r="AO46" s="1329"/>
      <c r="AP46" s="1329"/>
      <c r="AQ46" s="1329"/>
      <c r="AR46" s="1329"/>
      <c r="AS46" s="1329"/>
      <c r="AT46" s="1334"/>
      <c r="AU46" s="1334"/>
      <c r="AV46" s="1334"/>
      <c r="AW46" s="1334"/>
      <c r="AX46" s="1334"/>
    </row>
    <row r="47" spans="1:50" s="1328" customFormat="1" ht="12.75">
      <c r="A47" s="1411"/>
      <c r="B47" s="1411"/>
      <c r="C47" s="91"/>
      <c r="D47" s="1327"/>
      <c r="E47" s="1329"/>
      <c r="F47" s="1329"/>
      <c r="G47" s="1329"/>
      <c r="H47" s="1329"/>
      <c r="I47" s="1329"/>
      <c r="J47" s="114"/>
      <c r="K47" s="93"/>
      <c r="M47" s="1330"/>
      <c r="N47" s="1330"/>
      <c r="O47" s="1330"/>
      <c r="P47" s="1330"/>
      <c r="Q47" s="1330"/>
      <c r="R47" s="1330"/>
      <c r="S47" s="1329"/>
      <c r="T47" s="1329"/>
      <c r="U47" s="1329"/>
      <c r="V47" s="1329"/>
      <c r="W47" s="1329"/>
      <c r="X47" s="1336" t="s">
        <v>124</v>
      </c>
      <c r="Y47" s="1337">
        <f>SUMIF(Y12:Y27,"&gt;0",Y12:Y27)</f>
        <v>22.883785649150184</v>
      </c>
      <c r="Z47" s="1337">
        <f>SUMIF(Z12:Z27,"&gt;0",Z12:Z27)</f>
        <v>7.983705056746395</v>
      </c>
      <c r="AA47" s="1337">
        <f>SUMIF(AA12:AA27,"&gt;0",AA12:AA27)</f>
        <v>2.145922139446538</v>
      </c>
      <c r="AB47" s="1337">
        <f>SUMIF(AB12:AB27,"&gt;0",AB12:AB27)</f>
        <v>27.704962503926446</v>
      </c>
      <c r="AC47" s="1328" t="s">
        <v>591</v>
      </c>
      <c r="AD47" s="1329"/>
      <c r="AE47" s="1334"/>
      <c r="AF47" s="1334"/>
      <c r="AG47" s="1334"/>
      <c r="AH47" s="1334"/>
      <c r="AI47" s="1334"/>
      <c r="AJ47" s="92"/>
      <c r="AK47" s="93"/>
      <c r="AL47" s="93"/>
      <c r="AM47" s="93"/>
      <c r="AN47" s="93"/>
      <c r="AO47" s="1329"/>
      <c r="AP47" s="1329"/>
      <c r="AQ47" s="1329"/>
      <c r="AR47" s="1329"/>
      <c r="AS47" s="1329"/>
      <c r="AT47" s="1334"/>
      <c r="AU47" s="1334"/>
      <c r="AV47" s="1334"/>
      <c r="AW47" s="1334"/>
      <c r="AX47" s="1334"/>
    </row>
    <row r="48" spans="1:50" s="1328" customFormat="1" ht="12.75">
      <c r="A48" s="1411"/>
      <c r="B48" s="1411"/>
      <c r="C48" s="91"/>
      <c r="D48" s="1327"/>
      <c r="I48" s="1329"/>
      <c r="J48" s="115"/>
      <c r="K48" s="93"/>
      <c r="M48" s="1330"/>
      <c r="N48" s="1330"/>
      <c r="O48" s="1330"/>
      <c r="P48" s="1330"/>
      <c r="Q48" s="1330"/>
      <c r="R48" s="1330"/>
      <c r="S48" s="1329"/>
      <c r="T48" s="1329"/>
      <c r="U48" s="1329"/>
      <c r="V48" s="1329"/>
      <c r="W48" s="1329"/>
      <c r="X48" s="1336" t="s">
        <v>592</v>
      </c>
      <c r="Y48" s="1339">
        <f>Y46/(Y47+Y46)</f>
        <v>0.704778005937233</v>
      </c>
      <c r="Z48" s="1340">
        <f>Z46/(Z47+Z46)</f>
        <v>0.8623204754057672</v>
      </c>
      <c r="AA48" s="1340">
        <f>AA46/(AA47+AA46)</f>
        <v>0.8607945569251998</v>
      </c>
      <c r="AB48" s="1341">
        <f>AB46/(AB47+AB46)</f>
        <v>0.5758648521811703</v>
      </c>
      <c r="AC48" s="1329"/>
      <c r="AD48" s="1329"/>
      <c r="AE48" s="1334"/>
      <c r="AF48" s="1334"/>
      <c r="AG48" s="1334"/>
      <c r="AH48" s="1334"/>
      <c r="AI48" s="1334"/>
      <c r="AJ48" s="92"/>
      <c r="AK48" s="93"/>
      <c r="AL48" s="93"/>
      <c r="AM48" s="93"/>
      <c r="AN48" s="93"/>
      <c r="AO48" s="1329"/>
      <c r="AP48" s="1329"/>
      <c r="AQ48" s="1329"/>
      <c r="AR48" s="1329"/>
      <c r="AS48" s="1329"/>
      <c r="AT48" s="1334"/>
      <c r="AU48" s="1334"/>
      <c r="AV48" s="1334"/>
      <c r="AW48" s="1334"/>
      <c r="AX48" s="1334"/>
    </row>
    <row r="49" spans="1:50" s="1328" customFormat="1" ht="12.75">
      <c r="A49" s="1411"/>
      <c r="B49" s="1411"/>
      <c r="C49" s="91"/>
      <c r="D49" s="1327"/>
      <c r="I49" s="1329"/>
      <c r="J49" s="115"/>
      <c r="K49" s="93"/>
      <c r="M49" s="1330"/>
      <c r="N49" s="1330"/>
      <c r="O49" s="1330"/>
      <c r="P49" s="1330"/>
      <c r="Q49" s="1330"/>
      <c r="R49" s="1330"/>
      <c r="S49" s="1329"/>
      <c r="T49" s="1329"/>
      <c r="U49" s="1329"/>
      <c r="V49" s="1329"/>
      <c r="W49" s="1329"/>
      <c r="X49" s="1342" t="s">
        <v>125</v>
      </c>
      <c r="Y49" s="1343">
        <f>Y47/(Y46+Y47)</f>
        <v>0.29522199406276683</v>
      </c>
      <c r="Z49" s="1344">
        <f>Z47/(Z46+Z47)</f>
        <v>0.13767952459423277</v>
      </c>
      <c r="AA49" s="1344">
        <f>AA47/(AA46+AA47)</f>
        <v>0.13920544307480012</v>
      </c>
      <c r="AB49" s="1344">
        <f>AB47/(AB46+AB47)</f>
        <v>0.4241351478188296</v>
      </c>
      <c r="AC49" s="1329"/>
      <c r="AD49" s="1329"/>
      <c r="AE49" s="1334"/>
      <c r="AF49" s="1334"/>
      <c r="AG49" s="1334"/>
      <c r="AH49" s="1334"/>
      <c r="AI49" s="1334"/>
      <c r="AJ49" s="92"/>
      <c r="AK49" s="93"/>
      <c r="AL49" s="93"/>
      <c r="AM49" s="93"/>
      <c r="AN49" s="93"/>
      <c r="AO49" s="1329"/>
      <c r="AP49" s="1329"/>
      <c r="AQ49" s="1329"/>
      <c r="AR49" s="1329"/>
      <c r="AS49" s="1329"/>
      <c r="AT49" s="1334"/>
      <c r="AU49" s="1334"/>
      <c r="AV49" s="1334"/>
      <c r="AW49" s="1334"/>
      <c r="AX49" s="1334"/>
    </row>
    <row r="50" spans="1:50" s="1328" customFormat="1" ht="12.75">
      <c r="A50" s="1411"/>
      <c r="B50" s="1411"/>
      <c r="C50" s="91"/>
      <c r="D50" s="1327"/>
      <c r="I50" s="1329"/>
      <c r="J50" s="115"/>
      <c r="K50" s="93"/>
      <c r="M50" s="1330"/>
      <c r="N50" s="1330"/>
      <c r="O50" s="1330"/>
      <c r="P50" s="1330"/>
      <c r="Q50" s="1330"/>
      <c r="R50" s="1330"/>
      <c r="S50" s="1329"/>
      <c r="T50" s="1329"/>
      <c r="U50" s="1329"/>
      <c r="V50" s="1329"/>
      <c r="W50" s="1329"/>
      <c r="Y50" s="1329"/>
      <c r="Z50" s="1329"/>
      <c r="AA50" s="1329"/>
      <c r="AB50" s="1329"/>
      <c r="AC50" s="1329"/>
      <c r="AD50" s="1329"/>
      <c r="AE50" s="1334"/>
      <c r="AF50" s="1334"/>
      <c r="AG50" s="1334"/>
      <c r="AH50" s="1334"/>
      <c r="AI50" s="1334"/>
      <c r="AJ50" s="92"/>
      <c r="AK50" s="93"/>
      <c r="AL50" s="93"/>
      <c r="AM50" s="93"/>
      <c r="AN50" s="93"/>
      <c r="AO50" s="1329"/>
      <c r="AP50" s="1329"/>
      <c r="AQ50" s="1329"/>
      <c r="AR50" s="1329"/>
      <c r="AS50" s="1329"/>
      <c r="AT50" s="1334"/>
      <c r="AU50" s="1334"/>
      <c r="AV50" s="1334"/>
      <c r="AW50" s="1334"/>
      <c r="AX50" s="1334"/>
    </row>
    <row r="51" spans="1:50" s="1328" customFormat="1" ht="12.75">
      <c r="A51" s="1411"/>
      <c r="B51" s="1411"/>
      <c r="C51" s="91"/>
      <c r="D51" s="1327"/>
      <c r="I51" s="1329"/>
      <c r="J51" s="115"/>
      <c r="K51" s="93"/>
      <c r="M51" s="1330"/>
      <c r="N51" s="1330"/>
      <c r="O51" s="1330"/>
      <c r="P51" s="1330"/>
      <c r="Q51" s="1330"/>
      <c r="R51" s="1330"/>
      <c r="S51" s="1329"/>
      <c r="T51" s="1329"/>
      <c r="U51" s="1329"/>
      <c r="V51" s="1329"/>
      <c r="W51" s="1329"/>
      <c r="Y51" s="1329"/>
      <c r="Z51" s="1329"/>
      <c r="AA51" s="1329"/>
      <c r="AB51" s="1329"/>
      <c r="AC51" s="1329"/>
      <c r="AD51" s="1329"/>
      <c r="AE51" s="1334"/>
      <c r="AF51" s="1334"/>
      <c r="AG51" s="1334"/>
      <c r="AH51" s="1334"/>
      <c r="AI51" s="1334"/>
      <c r="AJ51" s="92"/>
      <c r="AK51" s="93"/>
      <c r="AL51" s="93"/>
      <c r="AM51" s="93"/>
      <c r="AN51" s="93"/>
      <c r="AO51" s="1329"/>
      <c r="AP51" s="1329"/>
      <c r="AQ51" s="1329"/>
      <c r="AR51" s="1329"/>
      <c r="AS51" s="1329"/>
      <c r="AT51" s="1334"/>
      <c r="AU51" s="1334"/>
      <c r="AV51" s="1334"/>
      <c r="AW51" s="1334"/>
      <c r="AX51" s="1334"/>
    </row>
    <row r="52" spans="1:50" s="1328" customFormat="1" ht="12.75">
      <c r="A52" s="1411"/>
      <c r="B52" s="1411"/>
      <c r="C52" s="91"/>
      <c r="D52" s="1327"/>
      <c r="I52" s="1329"/>
      <c r="J52" s="115"/>
      <c r="K52" s="93"/>
      <c r="M52" s="1330"/>
      <c r="N52" s="1330"/>
      <c r="O52" s="1330"/>
      <c r="P52" s="1330"/>
      <c r="Q52" s="1330"/>
      <c r="R52" s="1330"/>
      <c r="S52" s="1329"/>
      <c r="T52" s="1329"/>
      <c r="U52" s="1329"/>
      <c r="V52" s="1329"/>
      <c r="W52" s="1329"/>
      <c r="Y52" s="1329"/>
      <c r="Z52" s="1329"/>
      <c r="AA52" s="1329"/>
      <c r="AB52" s="1329"/>
      <c r="AC52" s="1329"/>
      <c r="AD52" s="1329"/>
      <c r="AE52" s="1334"/>
      <c r="AF52" s="1334"/>
      <c r="AG52" s="1334"/>
      <c r="AH52" s="1334"/>
      <c r="AI52" s="1334"/>
      <c r="AJ52" s="92"/>
      <c r="AK52" s="93"/>
      <c r="AL52" s="93"/>
      <c r="AM52" s="93"/>
      <c r="AN52" s="93"/>
      <c r="AO52" s="1329"/>
      <c r="AP52" s="1329"/>
      <c r="AQ52" s="1329"/>
      <c r="AR52" s="1329"/>
      <c r="AS52" s="1329"/>
      <c r="AT52" s="1334"/>
      <c r="AU52" s="1334"/>
      <c r="AV52" s="1334"/>
      <c r="AW52" s="1334"/>
      <c r="AX52" s="1334"/>
    </row>
    <row r="53" spans="1:50" s="1328" customFormat="1" ht="12.75">
      <c r="A53" s="1411"/>
      <c r="B53" s="1411"/>
      <c r="C53" s="91"/>
      <c r="D53" s="1327"/>
      <c r="I53" s="1329"/>
      <c r="J53" s="115"/>
      <c r="K53" s="93"/>
      <c r="M53" s="1330"/>
      <c r="N53" s="1330"/>
      <c r="O53" s="1330"/>
      <c r="P53" s="1330"/>
      <c r="Q53" s="1330"/>
      <c r="R53" s="1330"/>
      <c r="S53" s="1329"/>
      <c r="T53" s="1329"/>
      <c r="U53" s="1329"/>
      <c r="V53" s="1329"/>
      <c r="W53" s="1329"/>
      <c r="Y53" s="1329"/>
      <c r="Z53" s="1329"/>
      <c r="AA53" s="1329"/>
      <c r="AB53" s="1329"/>
      <c r="AC53" s="1329"/>
      <c r="AD53" s="1329"/>
      <c r="AE53" s="1334"/>
      <c r="AF53" s="1334"/>
      <c r="AG53" s="1334"/>
      <c r="AH53" s="1334"/>
      <c r="AI53" s="1334"/>
      <c r="AJ53" s="92"/>
      <c r="AK53" s="93"/>
      <c r="AL53" s="93"/>
      <c r="AM53" s="93"/>
      <c r="AN53" s="93"/>
      <c r="AO53" s="1329"/>
      <c r="AP53" s="1329"/>
      <c r="AQ53" s="1329"/>
      <c r="AR53" s="1329"/>
      <c r="AS53" s="1329"/>
      <c r="AT53" s="1334"/>
      <c r="AU53" s="1334"/>
      <c r="AV53" s="1334"/>
      <c r="AW53" s="1334"/>
      <c r="AX53" s="1334"/>
    </row>
    <row r="54" spans="1:50" s="1328" customFormat="1" ht="12.75">
      <c r="A54" s="1411"/>
      <c r="B54" s="1411"/>
      <c r="C54" s="91"/>
      <c r="D54" s="1327"/>
      <c r="I54" s="1329"/>
      <c r="J54" s="115"/>
      <c r="K54" s="93"/>
      <c r="M54" s="1330"/>
      <c r="N54" s="1330"/>
      <c r="O54" s="1330"/>
      <c r="P54" s="1330"/>
      <c r="Q54" s="1330"/>
      <c r="R54" s="1330"/>
      <c r="S54" s="1329"/>
      <c r="T54" s="1329"/>
      <c r="U54" s="1329"/>
      <c r="V54" s="1329"/>
      <c r="W54" s="1329"/>
      <c r="Y54" s="1329"/>
      <c r="Z54" s="1329"/>
      <c r="AA54" s="1329"/>
      <c r="AB54" s="1329"/>
      <c r="AC54" s="1329"/>
      <c r="AD54" s="1329"/>
      <c r="AE54" s="1334"/>
      <c r="AF54" s="1334"/>
      <c r="AG54" s="1334"/>
      <c r="AH54" s="1334"/>
      <c r="AI54" s="1334"/>
      <c r="AJ54" s="92"/>
      <c r="AK54" s="93"/>
      <c r="AL54" s="93"/>
      <c r="AM54" s="93"/>
      <c r="AN54" s="93"/>
      <c r="AO54" s="1329"/>
      <c r="AP54" s="1329"/>
      <c r="AQ54" s="1329"/>
      <c r="AR54" s="1329"/>
      <c r="AS54" s="1329"/>
      <c r="AT54" s="1334"/>
      <c r="AU54" s="1334"/>
      <c r="AV54" s="1334"/>
      <c r="AW54" s="1334"/>
      <c r="AX54" s="1334"/>
    </row>
    <row r="55" spans="1:50" s="1328" customFormat="1" ht="12.75">
      <c r="A55" s="1411"/>
      <c r="B55" s="1411"/>
      <c r="C55" s="91"/>
      <c r="D55" s="1327"/>
      <c r="I55" s="1329"/>
      <c r="J55" s="115"/>
      <c r="K55" s="93"/>
      <c r="M55" s="1330"/>
      <c r="N55" s="1330"/>
      <c r="O55" s="1330"/>
      <c r="P55" s="1330"/>
      <c r="Q55" s="1330"/>
      <c r="R55" s="1330"/>
      <c r="S55" s="1329"/>
      <c r="T55" s="1329"/>
      <c r="U55" s="1329"/>
      <c r="V55" s="1329"/>
      <c r="W55" s="1329"/>
      <c r="Y55" s="1329"/>
      <c r="Z55" s="1329"/>
      <c r="AA55" s="1329"/>
      <c r="AB55" s="1329"/>
      <c r="AC55" s="1329"/>
      <c r="AD55" s="1329"/>
      <c r="AE55" s="1334"/>
      <c r="AF55" s="1334"/>
      <c r="AG55" s="1334"/>
      <c r="AH55" s="1334"/>
      <c r="AI55" s="1334"/>
      <c r="AJ55" s="92"/>
      <c r="AK55" s="93"/>
      <c r="AL55" s="93"/>
      <c r="AM55" s="93"/>
      <c r="AN55" s="93"/>
      <c r="AO55" s="1329"/>
      <c r="AP55" s="1329"/>
      <c r="AQ55" s="1329"/>
      <c r="AR55" s="1329"/>
      <c r="AS55" s="1329"/>
      <c r="AT55" s="1334"/>
      <c r="AU55" s="1334"/>
      <c r="AV55" s="1334"/>
      <c r="AW55" s="1334"/>
      <c r="AX55" s="1334"/>
    </row>
    <row r="56" spans="1:50" s="1328" customFormat="1" ht="12.75">
      <c r="A56" s="1411"/>
      <c r="B56" s="1411"/>
      <c r="C56" s="91"/>
      <c r="D56" s="1327"/>
      <c r="I56" s="1329"/>
      <c r="J56" s="115"/>
      <c r="K56" s="93"/>
      <c r="M56" s="1330"/>
      <c r="N56" s="1330"/>
      <c r="O56" s="1330"/>
      <c r="P56" s="1330"/>
      <c r="Q56" s="1330"/>
      <c r="R56" s="1330"/>
      <c r="S56" s="1329"/>
      <c r="T56" s="1329"/>
      <c r="U56" s="1329"/>
      <c r="V56" s="1329"/>
      <c r="W56" s="1329"/>
      <c r="Y56" s="1329"/>
      <c r="Z56" s="1329"/>
      <c r="AA56" s="1329"/>
      <c r="AB56" s="1329"/>
      <c r="AC56" s="1329"/>
      <c r="AD56" s="1329"/>
      <c r="AE56" s="1334"/>
      <c r="AF56" s="1334"/>
      <c r="AG56" s="1334"/>
      <c r="AH56" s="1334"/>
      <c r="AI56" s="1334"/>
      <c r="AJ56" s="92"/>
      <c r="AK56" s="93"/>
      <c r="AL56" s="93"/>
      <c r="AM56" s="93"/>
      <c r="AN56" s="93"/>
      <c r="AO56" s="1329"/>
      <c r="AP56" s="1329"/>
      <c r="AQ56" s="1329"/>
      <c r="AR56" s="1329"/>
      <c r="AS56" s="1329"/>
      <c r="AT56" s="1334"/>
      <c r="AU56" s="1334"/>
      <c r="AV56" s="1334"/>
      <c r="AW56" s="1334"/>
      <c r="AX56" s="1334"/>
    </row>
    <row r="57" spans="1:50" s="1328" customFormat="1" ht="12.75">
      <c r="A57" s="1411"/>
      <c r="B57" s="1411"/>
      <c r="C57" s="91"/>
      <c r="D57" s="1327"/>
      <c r="I57" s="1329"/>
      <c r="J57" s="115"/>
      <c r="K57" s="93"/>
      <c r="M57" s="1330"/>
      <c r="N57" s="1330"/>
      <c r="O57" s="1330"/>
      <c r="P57" s="1330"/>
      <c r="Q57" s="1330"/>
      <c r="R57" s="1330"/>
      <c r="S57" s="1329"/>
      <c r="T57" s="1329"/>
      <c r="U57" s="1329"/>
      <c r="V57" s="1329"/>
      <c r="W57" s="1329"/>
      <c r="Y57" s="1329"/>
      <c r="Z57" s="1329"/>
      <c r="AA57" s="1329"/>
      <c r="AB57" s="1329"/>
      <c r="AC57" s="1329"/>
      <c r="AD57" s="1329"/>
      <c r="AE57" s="1334"/>
      <c r="AF57" s="1334"/>
      <c r="AG57" s="1334"/>
      <c r="AH57" s="1334"/>
      <c r="AI57" s="1334"/>
      <c r="AJ57" s="92"/>
      <c r="AK57" s="93"/>
      <c r="AL57" s="93"/>
      <c r="AM57" s="93"/>
      <c r="AN57" s="93"/>
      <c r="AO57" s="1329"/>
      <c r="AP57" s="1329"/>
      <c r="AQ57" s="1329"/>
      <c r="AR57" s="1329"/>
      <c r="AS57" s="1329"/>
      <c r="AT57" s="1334"/>
      <c r="AU57" s="1334"/>
      <c r="AV57" s="1334"/>
      <c r="AW57" s="1334"/>
      <c r="AX57" s="1334"/>
    </row>
    <row r="58" spans="1:50" s="1328" customFormat="1" ht="12.75">
      <c r="A58" s="1411"/>
      <c r="B58" s="1411"/>
      <c r="C58" s="91"/>
      <c r="D58" s="1327"/>
      <c r="I58" s="1329"/>
      <c r="J58" s="115"/>
      <c r="K58" s="93"/>
      <c r="M58" s="1330"/>
      <c r="N58" s="1330"/>
      <c r="O58" s="1330"/>
      <c r="P58" s="1330"/>
      <c r="Q58" s="1330"/>
      <c r="R58" s="1330"/>
      <c r="S58" s="1329"/>
      <c r="T58" s="1329"/>
      <c r="U58" s="1329"/>
      <c r="V58" s="1329"/>
      <c r="W58" s="1329"/>
      <c r="Y58" s="1329"/>
      <c r="Z58" s="1329"/>
      <c r="AA58" s="1329"/>
      <c r="AB58" s="1329"/>
      <c r="AC58" s="1329"/>
      <c r="AD58" s="1329"/>
      <c r="AE58" s="1334"/>
      <c r="AF58" s="1334"/>
      <c r="AG58" s="1334"/>
      <c r="AH58" s="1334"/>
      <c r="AI58" s="1334"/>
      <c r="AJ58" s="92"/>
      <c r="AK58" s="93"/>
      <c r="AL58" s="93"/>
      <c r="AM58" s="93"/>
      <c r="AN58" s="93"/>
      <c r="AO58" s="1329"/>
      <c r="AP58" s="1329"/>
      <c r="AQ58" s="1329"/>
      <c r="AR58" s="1329"/>
      <c r="AS58" s="1329"/>
      <c r="AT58" s="1334"/>
      <c r="AU58" s="1334"/>
      <c r="AV58" s="1334"/>
      <c r="AW58" s="1334"/>
      <c r="AX58" s="1334"/>
    </row>
    <row r="59" spans="1:50" s="1328" customFormat="1" ht="12.75">
      <c r="A59" s="1411"/>
      <c r="B59" s="1411"/>
      <c r="C59" s="91"/>
      <c r="D59" s="1327"/>
      <c r="I59" s="1329"/>
      <c r="J59" s="115"/>
      <c r="K59" s="93"/>
      <c r="M59" s="1330"/>
      <c r="N59" s="1330"/>
      <c r="O59" s="1330"/>
      <c r="P59" s="1330"/>
      <c r="Q59" s="1330"/>
      <c r="R59" s="1330"/>
      <c r="S59" s="1329"/>
      <c r="T59" s="1329"/>
      <c r="U59" s="1329"/>
      <c r="V59" s="1329"/>
      <c r="W59" s="1329"/>
      <c r="Y59" s="1329"/>
      <c r="Z59" s="1329"/>
      <c r="AA59" s="1329"/>
      <c r="AB59" s="1329"/>
      <c r="AC59" s="1329"/>
      <c r="AD59" s="1329"/>
      <c r="AE59" s="1334"/>
      <c r="AF59" s="1334"/>
      <c r="AG59" s="1334"/>
      <c r="AH59" s="1334"/>
      <c r="AI59" s="1334"/>
      <c r="AJ59" s="92"/>
      <c r="AK59" s="93"/>
      <c r="AL59" s="93"/>
      <c r="AM59" s="93"/>
      <c r="AN59" s="93"/>
      <c r="AO59" s="1329"/>
      <c r="AP59" s="1329"/>
      <c r="AQ59" s="1329"/>
      <c r="AR59" s="1329"/>
      <c r="AS59" s="1329"/>
      <c r="AT59" s="1334"/>
      <c r="AU59" s="1334"/>
      <c r="AV59" s="1334"/>
      <c r="AW59" s="1334"/>
      <c r="AX59" s="1334"/>
    </row>
    <row r="60" spans="1:50" s="1328" customFormat="1" ht="12.75">
      <c r="A60" s="1411"/>
      <c r="B60" s="1411"/>
      <c r="C60" s="91"/>
      <c r="D60" s="1327"/>
      <c r="I60" s="1329"/>
      <c r="J60" s="115"/>
      <c r="K60" s="93"/>
      <c r="M60" s="1330"/>
      <c r="N60" s="1330"/>
      <c r="O60" s="1330"/>
      <c r="P60" s="1330"/>
      <c r="Q60" s="1330"/>
      <c r="R60" s="1330"/>
      <c r="S60" s="1329"/>
      <c r="T60" s="1329"/>
      <c r="U60" s="1329"/>
      <c r="V60" s="1329"/>
      <c r="W60" s="1329"/>
      <c r="Y60" s="1329"/>
      <c r="Z60" s="1329"/>
      <c r="AA60" s="1329"/>
      <c r="AB60" s="1329"/>
      <c r="AC60" s="1329"/>
      <c r="AD60" s="1329"/>
      <c r="AE60" s="1334"/>
      <c r="AF60" s="1334"/>
      <c r="AG60" s="1334"/>
      <c r="AH60" s="1334"/>
      <c r="AI60" s="1334"/>
      <c r="AJ60" s="92"/>
      <c r="AK60" s="93"/>
      <c r="AL60" s="93"/>
      <c r="AM60" s="93"/>
      <c r="AN60" s="93"/>
      <c r="AO60" s="1329"/>
      <c r="AP60" s="1329"/>
      <c r="AQ60" s="1329"/>
      <c r="AR60" s="1329"/>
      <c r="AS60" s="1329"/>
      <c r="AT60" s="1334"/>
      <c r="AU60" s="1334"/>
      <c r="AV60" s="1334"/>
      <c r="AW60" s="1334"/>
      <c r="AX60" s="1334"/>
    </row>
    <row r="61" spans="1:50" s="1328" customFormat="1" ht="12.75">
      <c r="A61" s="1411"/>
      <c r="B61" s="1411"/>
      <c r="C61" s="91"/>
      <c r="D61" s="1327"/>
      <c r="I61" s="1329"/>
      <c r="J61" s="115"/>
      <c r="K61" s="93"/>
      <c r="M61" s="1330"/>
      <c r="N61" s="1330"/>
      <c r="O61" s="1330"/>
      <c r="P61" s="1330"/>
      <c r="Q61" s="1330"/>
      <c r="R61" s="1330"/>
      <c r="S61" s="1329"/>
      <c r="T61" s="1329"/>
      <c r="U61" s="1329"/>
      <c r="V61" s="1329"/>
      <c r="W61" s="1329"/>
      <c r="Y61" s="1329"/>
      <c r="Z61" s="1329"/>
      <c r="AA61" s="1329"/>
      <c r="AB61" s="1329"/>
      <c r="AC61" s="1329"/>
      <c r="AD61" s="1329"/>
      <c r="AE61" s="1334"/>
      <c r="AF61" s="1334"/>
      <c r="AG61" s="1334"/>
      <c r="AH61" s="1334"/>
      <c r="AI61" s="1334"/>
      <c r="AJ61" s="92"/>
      <c r="AK61" s="93"/>
      <c r="AL61" s="93"/>
      <c r="AM61" s="93"/>
      <c r="AN61" s="93"/>
      <c r="AO61" s="1329"/>
      <c r="AP61" s="1329"/>
      <c r="AQ61" s="1329"/>
      <c r="AR61" s="1329"/>
      <c r="AS61" s="1329"/>
      <c r="AT61" s="1334"/>
      <c r="AU61" s="1334"/>
      <c r="AV61" s="1334"/>
      <c r="AW61" s="1334"/>
      <c r="AX61" s="1334"/>
    </row>
    <row r="62" spans="1:50" s="1328" customFormat="1" ht="12.75">
      <c r="A62" s="1411"/>
      <c r="B62" s="1411"/>
      <c r="C62" s="91"/>
      <c r="D62" s="1327"/>
      <c r="I62" s="1329"/>
      <c r="J62" s="115"/>
      <c r="K62" s="93"/>
      <c r="M62" s="1330"/>
      <c r="N62" s="1330"/>
      <c r="O62" s="1330"/>
      <c r="P62" s="1330"/>
      <c r="Q62" s="1330"/>
      <c r="R62" s="1330"/>
      <c r="S62" s="1329"/>
      <c r="T62" s="1329"/>
      <c r="U62" s="1329"/>
      <c r="V62" s="1329"/>
      <c r="W62" s="1329"/>
      <c r="Y62" s="1329"/>
      <c r="Z62" s="1329"/>
      <c r="AA62" s="1329"/>
      <c r="AB62" s="1329"/>
      <c r="AC62" s="1329"/>
      <c r="AD62" s="1329"/>
      <c r="AE62" s="1334"/>
      <c r="AF62" s="1334"/>
      <c r="AG62" s="1334"/>
      <c r="AH62" s="1334"/>
      <c r="AI62" s="1334"/>
      <c r="AJ62" s="92"/>
      <c r="AK62" s="93"/>
      <c r="AL62" s="93"/>
      <c r="AM62" s="93"/>
      <c r="AN62" s="93"/>
      <c r="AO62" s="1329"/>
      <c r="AP62" s="1329"/>
      <c r="AQ62" s="1329"/>
      <c r="AR62" s="1329"/>
      <c r="AS62" s="1329"/>
      <c r="AT62" s="1334"/>
      <c r="AU62" s="1334"/>
      <c r="AV62" s="1334"/>
      <c r="AW62" s="1334"/>
      <c r="AX62" s="1334"/>
    </row>
  </sheetData>
  <sheetProtection/>
  <mergeCells count="23">
    <mergeCell ref="AU39:AX39"/>
    <mergeCell ref="AE39:AH39"/>
    <mergeCell ref="M4:P4"/>
    <mergeCell ref="Y39:AB39"/>
    <mergeCell ref="AO39:AR39"/>
    <mergeCell ref="S2:V2"/>
    <mergeCell ref="Y2:AB2"/>
    <mergeCell ref="AE3:AH3"/>
    <mergeCell ref="L3:P3"/>
    <mergeCell ref="Y3:AB3"/>
    <mergeCell ref="AJ2:AR2"/>
    <mergeCell ref="AU3:AX3"/>
    <mergeCell ref="AJ3:AL3"/>
    <mergeCell ref="AO3:AR3"/>
    <mergeCell ref="E3:I3"/>
    <mergeCell ref="S3:V3"/>
    <mergeCell ref="AE2:AH2"/>
    <mergeCell ref="D2:I2"/>
    <mergeCell ref="L2:P2"/>
    <mergeCell ref="A42:A62"/>
    <mergeCell ref="B42:B47"/>
    <mergeCell ref="B48:B62"/>
    <mergeCell ref="E4:H4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307" t="s">
        <v>310</v>
      </c>
      <c r="D1" s="911" t="s">
        <v>795</v>
      </c>
    </row>
    <row r="2" ht="38.25">
      <c r="B2" s="1308" t="s">
        <v>311</v>
      </c>
    </row>
    <row r="3" spans="1:2" ht="12.75">
      <c r="A3" s="1308" t="s">
        <v>312</v>
      </c>
      <c r="B3" s="151">
        <f>'RRP 5.1'!G36</f>
        <v>17084</v>
      </c>
    </row>
    <row r="4" spans="1:2" ht="12.75">
      <c r="A4" s="1308" t="s">
        <v>313</v>
      </c>
      <c r="B4" s="151">
        <f>'RRP 5.1'!G35</f>
        <v>9051</v>
      </c>
    </row>
    <row r="5" spans="1:2" ht="12.75">
      <c r="A5" s="1308" t="s">
        <v>330</v>
      </c>
      <c r="B5" s="151">
        <f>'RRP 5.1'!G34</f>
        <v>616</v>
      </c>
    </row>
    <row r="6" spans="1:2" ht="12.75">
      <c r="A6" s="1308" t="s">
        <v>348</v>
      </c>
      <c r="B6" s="151">
        <f>'RRP 5.1'!G40</f>
        <v>1381</v>
      </c>
    </row>
    <row r="8" ht="15.75">
      <c r="A8" s="1307" t="s">
        <v>331</v>
      </c>
    </row>
    <row r="9" spans="2:6" ht="12.75">
      <c r="B9" s="1308" t="s">
        <v>332</v>
      </c>
      <c r="C9" s="1308" t="s">
        <v>695</v>
      </c>
      <c r="D9" s="1308" t="s">
        <v>694</v>
      </c>
      <c r="E9" s="1308" t="s">
        <v>815</v>
      </c>
      <c r="F9" s="1308" t="s">
        <v>813</v>
      </c>
    </row>
    <row r="10" spans="1:6" ht="12.75">
      <c r="A10" s="1308" t="s">
        <v>312</v>
      </c>
      <c r="B10" s="151">
        <v>1</v>
      </c>
      <c r="C10" s="151">
        <v>1</v>
      </c>
      <c r="D10" s="151">
        <v>1</v>
      </c>
      <c r="E10" s="151">
        <v>1</v>
      </c>
      <c r="F10" s="151">
        <v>1</v>
      </c>
    </row>
    <row r="11" spans="1:6" ht="12.75">
      <c r="A11" s="1308" t="s">
        <v>313</v>
      </c>
      <c r="B11" s="151">
        <v>0</v>
      </c>
      <c r="C11" s="151">
        <v>0</v>
      </c>
      <c r="D11" s="151">
        <f>(1+$B$6/($B$3+$B$4/2+$B$5/4)/2)/(1+$B$6/($B$3+$B$4/2+$B$5/4))</f>
        <v>0.9701656981140229</v>
      </c>
      <c r="E11" s="151">
        <f>(1+$B$6/($B$3+$B$4/2+$B$5/4)/2)/(1+$B$6/($B$3+$B$4/2+$B$5/4))</f>
        <v>0.9701656981140229</v>
      </c>
      <c r="F11" s="151">
        <f>(1+$B$6/($B$3+$B$4/2+$B$5/4)/2)/(1+$B$6/($B$3+$B$4/2+$B$5/4))</f>
        <v>0.9701656981140229</v>
      </c>
    </row>
    <row r="12" spans="1:6" ht="12.75">
      <c r="A12" s="1308" t="s">
        <v>330</v>
      </c>
      <c r="B12" s="151">
        <v>0</v>
      </c>
      <c r="C12" s="151">
        <v>0</v>
      </c>
      <c r="D12" s="151">
        <v>0</v>
      </c>
      <c r="E12" s="151">
        <f>(1+$B$6/($B$3+$B$4/2+$B$5/4)/4)/(1+$B$6/($B$3+$B$4/2+$B$5/4))</f>
        <v>0.9552485471710342</v>
      </c>
      <c r="F12" s="151">
        <f>(1+$B$6/($B$3+$B$4/2+$B$5/4)/4)/(1+$B$6/($B$3+$B$4/2+$B$5/4))</f>
        <v>0.9552485471710342</v>
      </c>
    </row>
    <row r="14" ht="15.75">
      <c r="A14" s="1307"/>
    </row>
    <row r="15" ht="14.25">
      <c r="A15" s="1309"/>
    </row>
    <row r="16" ht="14.25">
      <c r="A16" s="1309"/>
    </row>
    <row r="17" ht="14.25">
      <c r="A17" s="1310"/>
    </row>
    <row r="18" ht="14.25">
      <c r="A18" s="1310"/>
    </row>
    <row r="19" spans="2:6" ht="12.75">
      <c r="B19" s="1308" t="s">
        <v>332</v>
      </c>
      <c r="C19" s="1308" t="s">
        <v>695</v>
      </c>
      <c r="D19" s="1308" t="s">
        <v>694</v>
      </c>
      <c r="E19" s="1308" t="s">
        <v>815</v>
      </c>
      <c r="F19" s="1308" t="s">
        <v>813</v>
      </c>
    </row>
    <row r="20" spans="1:6" ht="12.75">
      <c r="A20" s="1308" t="s">
        <v>347</v>
      </c>
      <c r="B20" s="152">
        <f>SUMPRODUCT(B$10:B$12,$B$3:$B$5)</f>
        <v>17084</v>
      </c>
      <c r="C20" s="152">
        <f>SUMPRODUCT(C$10:C$12,$B$3:$B$5)</f>
        <v>17084</v>
      </c>
      <c r="D20" s="152">
        <f>SUMPRODUCT(D$10:D$12,$B$3:$B$5)</f>
        <v>25864.969733630023</v>
      </c>
      <c r="E20" s="152">
        <f>SUMPRODUCT(E$10:E$12,$B$3:$B$5)</f>
        <v>26453.40283868738</v>
      </c>
      <c r="F20" s="152">
        <f>SUMPRODUCT(F$10:F$12,$B$3:$B$5)</f>
        <v>26453.40283868738</v>
      </c>
    </row>
    <row r="21" spans="1:6" ht="12.75">
      <c r="A21" s="1308" t="s">
        <v>220</v>
      </c>
      <c r="B21" s="155">
        <f>B20*1000000</f>
        <v>17084000000</v>
      </c>
      <c r="C21" s="155">
        <f>C20*1000000</f>
        <v>17084000000</v>
      </c>
      <c r="D21" s="155">
        <f>D20*1000000</f>
        <v>25864969733.630024</v>
      </c>
      <c r="E21" s="155">
        <f>E20*1000000</f>
        <v>26453402838.687378</v>
      </c>
      <c r="F21" s="155">
        <f>F20*1000000</f>
        <v>26453402838.687378</v>
      </c>
    </row>
    <row r="25" spans="1:5" ht="12.75">
      <c r="A25" s="69"/>
      <c r="B25" s="69"/>
      <c r="C25" s="69"/>
      <c r="D25" s="69"/>
      <c r="E25" s="69"/>
    </row>
    <row r="26" spans="1:5" ht="12.75">
      <c r="A26" s="69"/>
      <c r="B26" s="69"/>
      <c r="C26" s="69"/>
      <c r="D26" s="69"/>
      <c r="E26" s="69"/>
    </row>
    <row r="27" spans="1:5" ht="12.75">
      <c r="A27" s="69"/>
      <c r="B27" s="69"/>
      <c r="C27" s="153"/>
      <c r="D27" s="153"/>
      <c r="E27" s="153"/>
    </row>
    <row r="28" spans="1:5" ht="12.75">
      <c r="A28" s="69"/>
      <c r="B28" s="69"/>
      <c r="C28" s="153"/>
      <c r="D28" s="153"/>
      <c r="E28" s="153"/>
    </row>
    <row r="29" spans="1:5" ht="12.75">
      <c r="A29" s="69"/>
      <c r="B29" s="69"/>
      <c r="C29" s="153"/>
      <c r="D29" s="153"/>
      <c r="E29" s="153"/>
    </row>
    <row r="30" spans="1:5" ht="12.75">
      <c r="A30" s="69"/>
      <c r="B30" s="69"/>
      <c r="C30" s="153"/>
      <c r="D30" s="153"/>
      <c r="E30" s="153"/>
    </row>
    <row r="31" spans="1:5" ht="12.75">
      <c r="A31" s="69"/>
      <c r="B31" s="69"/>
      <c r="C31" s="154"/>
      <c r="D31" s="154"/>
      <c r="E31" s="153"/>
    </row>
    <row r="32" spans="1:5" ht="12.75">
      <c r="A32" s="69"/>
      <c r="B32" s="69"/>
      <c r="C32" s="154"/>
      <c r="D32" s="154"/>
      <c r="E32" s="153"/>
    </row>
    <row r="33" spans="1:5" ht="12.75">
      <c r="A33" s="69"/>
      <c r="B33" s="69"/>
      <c r="C33" s="154"/>
      <c r="D33" s="154"/>
      <c r="E33" s="153"/>
    </row>
    <row r="34" spans="1:5" ht="12.75">
      <c r="A34" s="69"/>
      <c r="B34" s="69"/>
      <c r="C34" s="154"/>
      <c r="D34" s="154"/>
      <c r="E34" s="153"/>
    </row>
    <row r="35" spans="1:5" ht="12.75">
      <c r="A35" s="69"/>
      <c r="B35" s="69"/>
      <c r="C35" s="154"/>
      <c r="D35" s="85"/>
      <c r="E35" s="85"/>
    </row>
    <row r="36" spans="1:5" ht="12.75">
      <c r="A36" s="69"/>
      <c r="B36" s="69"/>
      <c r="C36" s="85"/>
      <c r="D36" s="85"/>
      <c r="E36" s="85"/>
    </row>
    <row r="37" spans="1:5" ht="12.75">
      <c r="A37" s="69"/>
      <c r="B37" s="69"/>
      <c r="C37" s="153"/>
      <c r="D37" s="153"/>
      <c r="E37" s="15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267" customFormat="1" ht="12.75">
      <c r="A1" s="1267" t="s">
        <v>223</v>
      </c>
      <c r="G1" s="911" t="s">
        <v>795</v>
      </c>
    </row>
    <row r="3" spans="2:7" ht="12.75">
      <c r="B3" s="1297" t="s">
        <v>249</v>
      </c>
      <c r="C3" s="1297" t="s">
        <v>695</v>
      </c>
      <c r="D3" s="1297" t="s">
        <v>694</v>
      </c>
      <c r="E3" s="1297" t="s">
        <v>815</v>
      </c>
      <c r="F3" s="1298" t="s">
        <v>250</v>
      </c>
      <c r="G3" s="1299"/>
    </row>
    <row r="4" spans="2:7" ht="38.25">
      <c r="B4" s="1300" t="s">
        <v>86</v>
      </c>
      <c r="C4" s="14">
        <f>'Calc-Net capex'!$D$6</f>
        <v>0.17584193572888193</v>
      </c>
      <c r="D4" s="14">
        <f>'Calc-Net capex'!$D$7</f>
        <v>0.25925871853570936</v>
      </c>
      <c r="E4" s="57">
        <f>'Calc-Net capex'!$D$8+'Calc-Net capex'!$D$9</f>
        <v>0.5648993457354088</v>
      </c>
      <c r="F4" s="61" t="s">
        <v>21</v>
      </c>
      <c r="G4" s="261"/>
    </row>
    <row r="5" spans="2:7" ht="12.75">
      <c r="B5" s="1300" t="s">
        <v>32</v>
      </c>
      <c r="C5" s="16">
        <v>1</v>
      </c>
      <c r="D5" s="16">
        <v>0</v>
      </c>
      <c r="E5" s="58">
        <v>0</v>
      </c>
      <c r="F5" s="62" t="s">
        <v>254</v>
      </c>
      <c r="G5" s="62"/>
    </row>
    <row r="6" spans="2:7" ht="12.75">
      <c r="B6" s="1300" t="s">
        <v>246</v>
      </c>
      <c r="C6" s="15">
        <f>'RRP 5.1'!$G$64/'RRP 5.1'!$G$65</f>
        <v>0.5077141566070622</v>
      </c>
      <c r="D6" s="15">
        <f>'RRP 5.1'!$G$63/'RRP 5.1'!$G$65</f>
        <v>0.42965270156865276</v>
      </c>
      <c r="E6" s="59">
        <f>('RRP 5.1'!$G$61+'RRP 5.1'!$G$62)/'RRP 5.1'!$G$65</f>
        <v>0.06263314182428507</v>
      </c>
      <c r="F6" s="62" t="s">
        <v>251</v>
      </c>
      <c r="G6" s="62"/>
    </row>
    <row r="7" spans="2:7" ht="12.75">
      <c r="B7" s="1300" t="s">
        <v>236</v>
      </c>
      <c r="C7" s="15">
        <f>0/'RRP 5.1'!$G$73</f>
        <v>0</v>
      </c>
      <c r="D7" s="15">
        <f>('RRP 5.1'!$G$71+'RRP 5.1'!$G$72)/'RRP 5.1'!$G$73</f>
        <v>0.9955699940933255</v>
      </c>
      <c r="E7" s="59">
        <f>('RRP 5.1'!$G$68+'RRP 5.1'!$G$69+'RRP 5.1'!$G$70)/'RRP 5.1'!$G$73</f>
        <v>0.004430005906674543</v>
      </c>
      <c r="F7" s="62" t="s">
        <v>251</v>
      </c>
      <c r="G7" s="62"/>
    </row>
    <row r="8" spans="2:7" ht="25.5">
      <c r="B8" s="1300" t="s">
        <v>248</v>
      </c>
      <c r="C8" s="15">
        <v>0</v>
      </c>
      <c r="D8" s="15">
        <v>0</v>
      </c>
      <c r="E8" s="59">
        <v>1</v>
      </c>
      <c r="F8" s="62" t="s">
        <v>254</v>
      </c>
      <c r="G8" s="62"/>
    </row>
    <row r="9" spans="2:7" ht="25.5">
      <c r="B9" s="1300" t="s">
        <v>255</v>
      </c>
      <c r="C9" s="15">
        <f>'Calc-MEAV'!D6</f>
        <v>0.456286294627607</v>
      </c>
      <c r="D9" s="15">
        <f>'Calc-MEAV'!D7</f>
        <v>0.16682968109611637</v>
      </c>
      <c r="E9" s="59">
        <f>'Calc-MEAV'!D8+'Calc-MEAV'!D9</f>
        <v>0.37688402427627665</v>
      </c>
      <c r="F9" s="261" t="s">
        <v>22</v>
      </c>
      <c r="G9" s="261"/>
    </row>
    <row r="10" spans="2:7" ht="12.75">
      <c r="B10" s="1300" t="s">
        <v>400</v>
      </c>
      <c r="C10" s="15">
        <v>0</v>
      </c>
      <c r="D10" s="15">
        <v>0</v>
      </c>
      <c r="E10" s="59">
        <v>1</v>
      </c>
      <c r="F10" s="62" t="s">
        <v>254</v>
      </c>
      <c r="G10" s="62"/>
    </row>
    <row r="11" spans="2:7" ht="12.75">
      <c r="B11" s="1300" t="s">
        <v>176</v>
      </c>
      <c r="C11" s="15">
        <v>1</v>
      </c>
      <c r="D11" s="15">
        <v>0</v>
      </c>
      <c r="E11" s="59">
        <v>0</v>
      </c>
      <c r="F11" s="62" t="s">
        <v>254</v>
      </c>
      <c r="G11" s="62"/>
    </row>
    <row r="12" spans="2:7" ht="12.75">
      <c r="B12" s="1301" t="s">
        <v>177</v>
      </c>
      <c r="C12" s="17">
        <v>0</v>
      </c>
      <c r="D12" s="17">
        <v>1</v>
      </c>
      <c r="E12" s="60">
        <v>0</v>
      </c>
      <c r="F12" s="247" t="s">
        <v>254</v>
      </c>
      <c r="G12" s="62"/>
    </row>
    <row r="14" s="1267" customFormat="1" ht="12.75">
      <c r="A14" s="1267" t="s">
        <v>95</v>
      </c>
    </row>
    <row r="16" spans="2:8" ht="12.75">
      <c r="B16" s="1297" t="s">
        <v>249</v>
      </c>
      <c r="C16" s="1297" t="s">
        <v>695</v>
      </c>
      <c r="D16" s="1297" t="s">
        <v>219</v>
      </c>
      <c r="E16" s="1297" t="s">
        <v>694</v>
      </c>
      <c r="F16" s="1297" t="s">
        <v>815</v>
      </c>
      <c r="G16" s="1302" t="s">
        <v>250</v>
      </c>
      <c r="H16" s="1299"/>
    </row>
    <row r="17" spans="2:8" ht="54" customHeight="1">
      <c r="B17" s="1300" t="s">
        <v>86</v>
      </c>
      <c r="C17" s="14">
        <f>'Calc-Net capex'!H6</f>
        <v>0.1758419357288819</v>
      </c>
      <c r="D17" s="14">
        <f>'Calc-Net capex'!H7</f>
        <v>0.05317823044572097</v>
      </c>
      <c r="E17" s="14">
        <f>'Calc-Net capex'!H8</f>
        <v>0.20608048808998844</v>
      </c>
      <c r="F17" s="57">
        <f>'Calc-Net capex'!$D$8+'Calc-Net capex'!$D$9</f>
        <v>0.5648993457354088</v>
      </c>
      <c r="G17" s="61" t="s">
        <v>21</v>
      </c>
      <c r="H17" s="261"/>
    </row>
    <row r="18" spans="2:8" ht="12.75">
      <c r="B18" s="1300" t="s">
        <v>247</v>
      </c>
      <c r="C18" s="16">
        <v>1</v>
      </c>
      <c r="D18" s="16">
        <v>0</v>
      </c>
      <c r="E18" s="16">
        <v>0</v>
      </c>
      <c r="F18" s="58">
        <v>0</v>
      </c>
      <c r="G18" s="62" t="s">
        <v>254</v>
      </c>
      <c r="H18" s="62"/>
    </row>
    <row r="19" spans="2:8" ht="12.75">
      <c r="B19" s="1300" t="s">
        <v>246</v>
      </c>
      <c r="C19" s="15">
        <f>'RRP 5.1'!$G$64/'RRP 5.1'!$G$65</f>
        <v>0.5077141566070622</v>
      </c>
      <c r="D19" s="15">
        <v>0</v>
      </c>
      <c r="E19" s="15">
        <f>'RRP 5.1'!$G$63/'RRP 5.1'!$G$65</f>
        <v>0.42965270156865276</v>
      </c>
      <c r="F19" s="59">
        <f>('RRP 5.1'!$G$61+'RRP 5.1'!$G$62)/'RRP 5.1'!$G$65</f>
        <v>0.06263314182428507</v>
      </c>
      <c r="G19" s="62" t="s">
        <v>251</v>
      </c>
      <c r="H19" s="62"/>
    </row>
    <row r="20" spans="2:8" ht="12.75">
      <c r="B20" s="1300" t="s">
        <v>245</v>
      </c>
      <c r="C20" s="15">
        <f>0/'RRP 5.1'!$G$73</f>
        <v>0</v>
      </c>
      <c r="D20" s="15">
        <v>0</v>
      </c>
      <c r="E20" s="15">
        <f>('RRP 5.1'!$G$71+'RRP 5.1'!$G$72)/'RRP 5.1'!$G$73</f>
        <v>0.9955699940933255</v>
      </c>
      <c r="F20" s="59">
        <f>('RRP 5.1'!$G$68+'RRP 5.1'!$G$69+'RRP 5.1'!$G$70)/'RRP 5.1'!$G$73</f>
        <v>0.004430005906674543</v>
      </c>
      <c r="G20" s="62" t="s">
        <v>251</v>
      </c>
      <c r="H20" s="62"/>
    </row>
    <row r="21" spans="2:8" ht="25.5">
      <c r="B21" s="1300" t="s">
        <v>248</v>
      </c>
      <c r="C21" s="15">
        <v>0</v>
      </c>
      <c r="D21" s="15">
        <v>0</v>
      </c>
      <c r="E21" s="15">
        <v>0</v>
      </c>
      <c r="F21" s="59">
        <v>1</v>
      </c>
      <c r="G21" s="62" t="s">
        <v>254</v>
      </c>
      <c r="H21" s="62"/>
    </row>
    <row r="22" spans="2:8" ht="59.25" customHeight="1">
      <c r="B22" s="1300" t="s">
        <v>255</v>
      </c>
      <c r="C22" s="1303">
        <f>'Calc-MEAV'!H6</f>
        <v>0.456286294627607</v>
      </c>
      <c r="D22" s="1303">
        <f>'Calc-MEAV'!H7</f>
        <v>0.03534221933809291</v>
      </c>
      <c r="E22" s="1303">
        <f>'Calc-MEAV'!H8</f>
        <v>0.13148746175802342</v>
      </c>
      <c r="F22" s="1303">
        <f>'Calc-MEAV'!H9+'Calc-MEAV'!H10</f>
        <v>0.37688402427627665</v>
      </c>
      <c r="G22" s="63" t="s">
        <v>22</v>
      </c>
      <c r="H22" s="261"/>
    </row>
    <row r="23" spans="2:8" ht="55.5" customHeight="1">
      <c r="B23" s="1300" t="s">
        <v>45</v>
      </c>
      <c r="C23" s="1303">
        <f>'Calc-MEAV'!L6</f>
        <v>0.29095507591047665</v>
      </c>
      <c r="D23" s="1303">
        <f>'Calc-MEAV'!L7</f>
        <v>0.07336285788655685</v>
      </c>
      <c r="E23" s="1303">
        <f>'Calc-MEAV'!L8</f>
        <v>0.14419601068685498</v>
      </c>
      <c r="F23" s="1303">
        <f>'Calc-MEAV'!L9+'Calc-MEAV'!L10</f>
        <v>0.4914860555161115</v>
      </c>
      <c r="G23" s="63" t="s">
        <v>22</v>
      </c>
      <c r="H23" s="62"/>
    </row>
    <row r="24" spans="2:8" ht="58.5" customHeight="1">
      <c r="B24" s="1300" t="s">
        <v>107</v>
      </c>
      <c r="C24" s="1303">
        <f>'Calc-MEAV'!Q3</f>
        <v>0</v>
      </c>
      <c r="D24" s="1303">
        <f>'Calc-MEAV'!Q4</f>
        <v>0</v>
      </c>
      <c r="E24" s="1303" t="str">
        <f>'Calc-MEAV'!Q5</f>
        <v>% of Total</v>
      </c>
      <c r="F24" s="1303">
        <f>'Calc-MEAV'!Q6+'Calc-MEAV'!Q7</f>
        <v>0.25609671548965307</v>
      </c>
      <c r="G24" s="63" t="s">
        <v>22</v>
      </c>
      <c r="H24" s="62"/>
    </row>
    <row r="25" spans="2:8" ht="12.75">
      <c r="B25" s="1300" t="s">
        <v>400</v>
      </c>
      <c r="C25" s="1303">
        <v>0</v>
      </c>
      <c r="D25" s="1303">
        <v>0</v>
      </c>
      <c r="E25" s="1303">
        <v>0</v>
      </c>
      <c r="F25" s="1303">
        <v>1</v>
      </c>
      <c r="G25" s="62" t="s">
        <v>254</v>
      </c>
      <c r="H25" s="62"/>
    </row>
    <row r="26" spans="2:8" ht="12.75">
      <c r="B26" s="1300" t="s">
        <v>176</v>
      </c>
      <c r="C26" s="1303">
        <v>1</v>
      </c>
      <c r="D26" s="1303">
        <v>0</v>
      </c>
      <c r="E26" s="1303">
        <v>0</v>
      </c>
      <c r="F26" s="1303">
        <v>0</v>
      </c>
      <c r="G26" s="62" t="s">
        <v>254</v>
      </c>
      <c r="H26" s="1299"/>
    </row>
    <row r="27" spans="2:8" ht="12.75">
      <c r="B27" s="1301" t="s">
        <v>177</v>
      </c>
      <c r="C27" s="1304">
        <v>0</v>
      </c>
      <c r="D27" s="1304">
        <v>0</v>
      </c>
      <c r="E27" s="1304">
        <v>1</v>
      </c>
      <c r="F27" s="1304">
        <v>0</v>
      </c>
      <c r="G27" s="128" t="s">
        <v>254</v>
      </c>
      <c r="H27" s="261"/>
    </row>
    <row r="29" spans="2:6" ht="12.75">
      <c r="B29" s="4"/>
      <c r="C29" s="4"/>
      <c r="D29" s="4"/>
      <c r="E29" s="4"/>
      <c r="F29" s="4"/>
    </row>
    <row r="30" spans="2:6" ht="12.75">
      <c r="B30" s="4"/>
      <c r="C30" s="4"/>
      <c r="D30" s="4"/>
      <c r="E30" s="4"/>
      <c r="F30" s="4"/>
    </row>
    <row r="31" spans="2:6" ht="12.75">
      <c r="B31" s="1305"/>
      <c r="C31" s="1306"/>
      <c r="D31" s="1306"/>
      <c r="E31" s="1306"/>
      <c r="F31" s="246"/>
    </row>
    <row r="32" spans="2:6" ht="12.75">
      <c r="B32" s="1305"/>
      <c r="C32" s="1306"/>
      <c r="D32" s="1306"/>
      <c r="E32" s="1306"/>
      <c r="F32" s="246"/>
    </row>
    <row r="33" spans="2:6" ht="12.75">
      <c r="B33" s="1305"/>
      <c r="C33" s="1306"/>
      <c r="D33" s="1306"/>
      <c r="E33" s="1306"/>
      <c r="F33" s="246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J17" sqref="J17:N164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34" customWidth="1"/>
    <col min="12" max="12" width="21.8515625" style="34" customWidth="1"/>
    <col min="13" max="14" width="9.140625" style="34" customWidth="1"/>
    <col min="15" max="15" width="20.421875" style="34" customWidth="1"/>
    <col min="16" max="16" width="20.421875" style="0" customWidth="1"/>
    <col min="17" max="17" width="21.8515625" style="0" customWidth="1"/>
  </cols>
  <sheetData>
    <row r="1" spans="1:6" s="1" customFormat="1" ht="12.75">
      <c r="A1" s="1267" t="s">
        <v>217</v>
      </c>
      <c r="F1" s="911" t="s">
        <v>795</v>
      </c>
    </row>
    <row r="2" spans="10:15" ht="12.75">
      <c r="J2"/>
      <c r="K2"/>
      <c r="L2"/>
      <c r="M2"/>
      <c r="N2"/>
      <c r="O2"/>
    </row>
    <row r="3" spans="2:17" ht="26.25" customHeight="1">
      <c r="B3" s="1435" t="s">
        <v>43</v>
      </c>
      <c r="C3" s="1436"/>
      <c r="D3" s="1437"/>
      <c r="F3" s="1435" t="s">
        <v>218</v>
      </c>
      <c r="G3" s="1436"/>
      <c r="H3" s="1437"/>
      <c r="J3" s="1435" t="s">
        <v>93</v>
      </c>
      <c r="K3" s="1436"/>
      <c r="L3" s="1437"/>
      <c r="M3"/>
      <c r="N3"/>
      <c r="O3" s="1435" t="s">
        <v>94</v>
      </c>
      <c r="P3" s="1436"/>
      <c r="Q3" s="1437"/>
    </row>
    <row r="4" spans="2:17" ht="27.75" customHeight="1">
      <c r="B4" s="1438" t="s">
        <v>222</v>
      </c>
      <c r="C4" s="1439"/>
      <c r="D4" s="1440"/>
      <c r="F4" s="1438" t="s">
        <v>799</v>
      </c>
      <c r="G4" s="1439"/>
      <c r="H4" s="1440"/>
      <c r="J4" s="1438" t="s">
        <v>222</v>
      </c>
      <c r="K4" s="1439"/>
      <c r="L4" s="1440"/>
      <c r="M4"/>
      <c r="N4"/>
      <c r="O4" s="1438" t="s">
        <v>222</v>
      </c>
      <c r="P4" s="1439"/>
      <c r="Q4" s="1440"/>
    </row>
    <row r="5" spans="2:17" ht="12.75">
      <c r="B5" s="6"/>
      <c r="C5" s="1278" t="s">
        <v>660</v>
      </c>
      <c r="D5" s="1270" t="s">
        <v>85</v>
      </c>
      <c r="F5" s="6"/>
      <c r="G5" s="1278" t="s">
        <v>660</v>
      </c>
      <c r="H5" s="1270" t="s">
        <v>85</v>
      </c>
      <c r="J5" s="6"/>
      <c r="K5" s="1278" t="s">
        <v>660</v>
      </c>
      <c r="L5" s="1270" t="s">
        <v>85</v>
      </c>
      <c r="M5"/>
      <c r="N5"/>
      <c r="O5" s="6"/>
      <c r="P5" s="1278" t="s">
        <v>660</v>
      </c>
      <c r="Q5" s="1270" t="s">
        <v>85</v>
      </c>
    </row>
    <row r="6" spans="2:17" ht="12.75">
      <c r="B6" s="1274" t="s">
        <v>695</v>
      </c>
      <c r="C6" s="52">
        <f>SUM(I20:I39)</f>
        <v>7640546.6618143665</v>
      </c>
      <c r="D6" s="8">
        <f>C6/$C$10</f>
        <v>0.456286294627607</v>
      </c>
      <c r="F6" s="1274" t="s">
        <v>695</v>
      </c>
      <c r="G6" s="52">
        <f>SUM(I20:I39)</f>
        <v>7640546.6618143665</v>
      </c>
      <c r="H6" s="1279">
        <f>G6/$G$11</f>
        <v>0.456286294627607</v>
      </c>
      <c r="J6" s="1274" t="s">
        <v>695</v>
      </c>
      <c r="K6" s="52">
        <f>SUM(I20:I39)-I21-I30</f>
        <v>3736022.4253502125</v>
      </c>
      <c r="L6" s="8">
        <f>K6/$K$11</f>
        <v>0.29095507591047665</v>
      </c>
      <c r="M6"/>
      <c r="N6"/>
      <c r="O6" s="1274" t="s">
        <v>695</v>
      </c>
      <c r="P6" s="52">
        <f>(SUM(I20:I39)-I21-I30)*0.5</f>
        <v>1868011.2126751062</v>
      </c>
      <c r="Q6" s="8">
        <f>P6/P$11</f>
        <v>0.17024425268720195</v>
      </c>
    </row>
    <row r="7" spans="2:17" ht="12.75">
      <c r="B7" s="1274" t="s">
        <v>694</v>
      </c>
      <c r="C7" s="53">
        <f>SUM(I42:I79)+SUM(I158:I163)+SUM(I153:I154)</f>
        <v>2793574.950636628</v>
      </c>
      <c r="D7" s="7">
        <f>C7/$C$10</f>
        <v>0.16682968109611637</v>
      </c>
      <c r="F7" s="1274" t="s">
        <v>219</v>
      </c>
      <c r="G7" s="53">
        <f>SUM(I62:I63)+SUM(I69:I70)+SUM(I75:I78)</f>
        <v>591807.9924034581</v>
      </c>
      <c r="H7" s="1280">
        <f>G7/$G$11</f>
        <v>0.03534221933809291</v>
      </c>
      <c r="J7" s="1274" t="s">
        <v>219</v>
      </c>
      <c r="K7" s="53">
        <f>SUM(I59:I72)+SUM(I75:I78)</f>
        <v>942019.2495156529</v>
      </c>
      <c r="L7" s="7">
        <f>K7/$K$11</f>
        <v>0.07336285788655685</v>
      </c>
      <c r="M7"/>
      <c r="N7"/>
      <c r="O7" s="1274" t="s">
        <v>219</v>
      </c>
      <c r="P7" s="53">
        <f>SUM(I59:I72)+SUM(I75:I78)</f>
        <v>942019.2495156529</v>
      </c>
      <c r="Q7" s="7">
        <f>P7/P$11</f>
        <v>0.08585246280245111</v>
      </c>
    </row>
    <row r="8" spans="2:17" ht="12.75">
      <c r="B8" s="1274" t="s">
        <v>815</v>
      </c>
      <c r="C8" s="53">
        <f>SUM(I81:I120)+SUM(I149:I150)</f>
        <v>1473541.3356383634</v>
      </c>
      <c r="D8" s="7">
        <f>C8/$C$10</f>
        <v>0.08799850924009439</v>
      </c>
      <c r="F8" s="1274" t="s">
        <v>694</v>
      </c>
      <c r="G8" s="53">
        <f>SUM(I42:I56)+SUM(I59:I61)+SUM(I64:I68)+SUM(I71:I72)+SUM(I158:I163)+SUM(I153:I154)</f>
        <v>2201766.9582331693</v>
      </c>
      <c r="H8" s="1280">
        <f>G8/$G$11</f>
        <v>0.13148746175802342</v>
      </c>
      <c r="J8" s="1274" t="s">
        <v>694</v>
      </c>
      <c r="K8" s="53">
        <f>SUM(I42:I56)+SUM(I158:I163)+SUM(I153:I154)</f>
        <v>1851555.7011209747</v>
      </c>
      <c r="L8" s="7">
        <f>K8/$K$11</f>
        <v>0.14419601068685498</v>
      </c>
      <c r="M8"/>
      <c r="N8"/>
      <c r="O8" s="1274" t="s">
        <v>694</v>
      </c>
      <c r="P8" s="53">
        <f>SUM(I42:I56)+SUM(I158:I163)+SUM(I153:I154)</f>
        <v>1851555.7011209747</v>
      </c>
      <c r="Q8" s="7">
        <f>P8/P$11</f>
        <v>0.16874455276671438</v>
      </c>
    </row>
    <row r="9" spans="2:17" ht="12.75">
      <c r="B9" s="1275" t="s">
        <v>265</v>
      </c>
      <c r="C9" s="54">
        <f>SUM(I121:I146)</f>
        <v>4837408.625997946</v>
      </c>
      <c r="D9" s="9">
        <f>C9/$C$10</f>
        <v>0.28888551503618226</v>
      </c>
      <c r="E9" s="943" t="s">
        <v>367</v>
      </c>
      <c r="F9" s="1274" t="s">
        <v>815</v>
      </c>
      <c r="G9" s="53">
        <f>SUM(I81:I120)+SUM(I149:I150)</f>
        <v>1473541.3356383634</v>
      </c>
      <c r="H9" s="1280">
        <f>G9/$G$11</f>
        <v>0.08799850924009439</v>
      </c>
      <c r="I9" s="943"/>
      <c r="J9" s="1274" t="s">
        <v>815</v>
      </c>
      <c r="K9" s="53">
        <f>SUM(I81:I120)+SUM(I149:I150)</f>
        <v>1473541.3356383634</v>
      </c>
      <c r="L9" s="7">
        <f>K9/$K$11</f>
        <v>0.11475689446047581</v>
      </c>
      <c r="M9"/>
      <c r="N9"/>
      <c r="O9" s="1274" t="s">
        <v>815</v>
      </c>
      <c r="P9" s="53">
        <f>SUM(I81:I120)+SUM(I149:I150)</f>
        <v>1473541.3356383634</v>
      </c>
      <c r="Q9" s="7">
        <f>P9/P$11</f>
        <v>0.13429359619860362</v>
      </c>
    </row>
    <row r="10" spans="2:18" ht="12.75">
      <c r="B10" s="1281" t="s">
        <v>816</v>
      </c>
      <c r="C10" s="55">
        <f>SUM(C6:C9)</f>
        <v>16745071.574087303</v>
      </c>
      <c r="D10" s="56">
        <f>SUM(D6:D9)</f>
        <v>1</v>
      </c>
      <c r="E10" t="str">
        <f>IF(C10=$I$164,"OK","error")</f>
        <v>OK</v>
      </c>
      <c r="F10" s="1275" t="s">
        <v>265</v>
      </c>
      <c r="G10" s="54">
        <f>SUM(I121:I146)</f>
        <v>4837408.625997946</v>
      </c>
      <c r="H10" s="1282">
        <f>G10/$G$11</f>
        <v>0.28888551503618226</v>
      </c>
      <c r="I10" s="943" t="s">
        <v>367</v>
      </c>
      <c r="J10" s="1275" t="s">
        <v>265</v>
      </c>
      <c r="K10" s="54">
        <f>SUM(I121:I146)</f>
        <v>4837408.625997946</v>
      </c>
      <c r="L10" s="9">
        <f>K10/$K$11</f>
        <v>0.3767291610556357</v>
      </c>
      <c r="M10" s="943" t="s">
        <v>367</v>
      </c>
      <c r="N10"/>
      <c r="O10" s="1275" t="s">
        <v>265</v>
      </c>
      <c r="P10" s="54">
        <f>SUM(I121:I146)</f>
        <v>4837408.625997946</v>
      </c>
      <c r="Q10" s="9">
        <f>P10/P$11</f>
        <v>0.44086513554502893</v>
      </c>
      <c r="R10" s="943" t="s">
        <v>367</v>
      </c>
    </row>
    <row r="11" spans="2:18" ht="12.75">
      <c r="B11" s="1283"/>
      <c r="C11" s="50"/>
      <c r="D11" s="51"/>
      <c r="F11" s="1281" t="s">
        <v>816</v>
      </c>
      <c r="G11" s="55">
        <f>SUM(G6:G10)</f>
        <v>16745071.574087303</v>
      </c>
      <c r="H11" s="56">
        <f>SUM(H6:H10)</f>
        <v>1</v>
      </c>
      <c r="I11" t="str">
        <f>IF(G11=$I$164,"OK","error")</f>
        <v>OK</v>
      </c>
      <c r="J11" s="1281" t="s">
        <v>816</v>
      </c>
      <c r="K11" s="55">
        <f>SUM(K6:K10)</f>
        <v>12840547.33762315</v>
      </c>
      <c r="L11" s="56">
        <f>SUM(L6:L10)</f>
        <v>0.9999999999999999</v>
      </c>
      <c r="M11" t="str">
        <f>IF(K11=($I$164-I21-I30),"OK","error")</f>
        <v>OK</v>
      </c>
      <c r="N11"/>
      <c r="O11" s="1281" t="s">
        <v>816</v>
      </c>
      <c r="P11" s="55">
        <f>SUM(P6:P10)</f>
        <v>10972536.124948043</v>
      </c>
      <c r="Q11" s="9">
        <f>SUM(Q6:Q10)</f>
        <v>1</v>
      </c>
      <c r="R11" t="str">
        <f>IF(P11=($I$164-I21-I30-(SUM(I20:I39)-I21-I30)*0.5),"OK","error")</f>
        <v>OK</v>
      </c>
    </row>
    <row r="12" spans="2:15" ht="12.75">
      <c r="B12" s="1283"/>
      <c r="C12" s="50"/>
      <c r="D12" s="51"/>
      <c r="J12"/>
      <c r="K12"/>
      <c r="L12"/>
      <c r="M12"/>
      <c r="N12"/>
      <c r="O12"/>
    </row>
    <row r="13" spans="2:15" ht="12.75">
      <c r="B13" s="1273"/>
      <c r="C13" s="50"/>
      <c r="D13" s="51"/>
      <c r="J13"/>
      <c r="K13"/>
      <c r="L13"/>
      <c r="M13"/>
      <c r="N13"/>
      <c r="O13"/>
    </row>
    <row r="14" s="1" customFormat="1" ht="12" customHeight="1">
      <c r="A14" s="1267" t="s">
        <v>356</v>
      </c>
    </row>
    <row r="15" ht="12.75"/>
    <row r="16" spans="1:15" s="18" customFormat="1" ht="25.5">
      <c r="A16" s="28"/>
      <c r="B16" s="19"/>
      <c r="C16" s="29" t="s">
        <v>395</v>
      </c>
      <c r="D16" s="28" t="s">
        <v>673</v>
      </c>
      <c r="E16" s="1284" t="s">
        <v>489</v>
      </c>
      <c r="F16" s="1284"/>
      <c r="G16" s="1284" t="s">
        <v>357</v>
      </c>
      <c r="H16" s="1284" t="s">
        <v>337</v>
      </c>
      <c r="I16" s="1284" t="s">
        <v>216</v>
      </c>
      <c r="J16" s="35"/>
      <c r="K16" s="30"/>
      <c r="L16" s="30"/>
      <c r="M16" s="30"/>
      <c r="N16" s="36"/>
      <c r="O16" s="36"/>
    </row>
    <row r="17" spans="1:15" ht="63.75">
      <c r="A17" s="3"/>
      <c r="B17" s="13"/>
      <c r="C17" s="20"/>
      <c r="D17" s="3"/>
      <c r="E17" s="27" t="s">
        <v>321</v>
      </c>
      <c r="F17" s="27" t="s">
        <v>796</v>
      </c>
      <c r="G17" s="27" t="s">
        <v>205</v>
      </c>
      <c r="H17" s="27" t="s">
        <v>488</v>
      </c>
      <c r="I17" s="49" t="s">
        <v>644</v>
      </c>
      <c r="J17" t="s">
        <v>63</v>
      </c>
      <c r="K17" s="30"/>
      <c r="L17" s="30"/>
      <c r="M17" s="30"/>
      <c r="N17" s="30"/>
      <c r="O17" s="37"/>
    </row>
    <row r="18" spans="1:15" ht="12.75">
      <c r="A18" s="3" t="s">
        <v>97</v>
      </c>
      <c r="B18" s="13"/>
      <c r="C18" s="20"/>
      <c r="D18" s="3"/>
      <c r="E18" s="3"/>
      <c r="F18" s="20"/>
      <c r="G18" s="20"/>
      <c r="H18" s="20"/>
      <c r="I18" s="20"/>
      <c r="J18"/>
      <c r="K18" s="31"/>
      <c r="L18" t="s">
        <v>695</v>
      </c>
      <c r="M18" s="1369">
        <f>SUMIF(J:J,L18,I:I)</f>
        <v>7640546.6618143665</v>
      </c>
      <c r="N18" s="1370">
        <f>M18/M$25</f>
        <v>0.456286294627607</v>
      </c>
      <c r="O18" s="39"/>
    </row>
    <row r="19" spans="1:15" ht="12.75">
      <c r="A19" s="26"/>
      <c r="B19" s="21" t="s">
        <v>883</v>
      </c>
      <c r="C19" s="22"/>
      <c r="D19" s="26"/>
      <c r="E19" s="26"/>
      <c r="F19" s="22"/>
      <c r="G19" s="22"/>
      <c r="H19" s="22"/>
      <c r="I19" s="22"/>
      <c r="J19" t="s">
        <v>695</v>
      </c>
      <c r="K19" s="32"/>
      <c r="L19" t="s">
        <v>90</v>
      </c>
      <c r="M19" s="1369">
        <f aca="true" t="shared" si="0" ref="M19:M24">SUMIF(J$1:J$65536,L19,I$1:I$65536)</f>
        <v>782060.8574034582</v>
      </c>
      <c r="N19" s="1370">
        <f aca="true" t="shared" si="1" ref="N19:N25">M19/M$25</f>
        <v>0.04670394234765071</v>
      </c>
      <c r="O19" s="40"/>
    </row>
    <row r="20" spans="1:15" ht="12.75">
      <c r="A20" s="26"/>
      <c r="B20" s="21"/>
      <c r="C20" s="22" t="s">
        <v>98</v>
      </c>
      <c r="D20" s="26" t="s">
        <v>844</v>
      </c>
      <c r="E20" s="1285">
        <f>IF(ISNUMBER('FBPQ C2'!K12),'FBPQ C2'!K12,IF(ISNUMBER('FBPQ C2'!I12),'FBPQ C2'!I12,""))</f>
        <v>41.70024657743304</v>
      </c>
      <c r="F20" s="1286" t="s">
        <v>798</v>
      </c>
      <c r="G20" s="1286">
        <f aca="true" t="shared" si="2" ref="G20:G83">IF(ISNUMBER(E20),E20,IF(H20&gt;0,F20," "))</f>
        <v>41.70024657743304</v>
      </c>
      <c r="H20" s="1287">
        <f>IF(ISBLANK('FBPQ T4'!E12)," ",'FBPQ T4'!AE12)</f>
        <v>5998</v>
      </c>
      <c r="I20" s="1288">
        <f>IF(ISERROR(G20*H20)," ",G20*H20)</f>
        <v>250118.07897144338</v>
      </c>
      <c r="J20" t="s">
        <v>695</v>
      </c>
      <c r="K20" s="32"/>
      <c r="L20" t="s">
        <v>694</v>
      </c>
      <c r="M20" s="1369">
        <f t="shared" si="0"/>
        <v>1681558.985165759</v>
      </c>
      <c r="N20" s="1370">
        <f t="shared" si="1"/>
        <v>0.10042112855271047</v>
      </c>
      <c r="O20" s="40"/>
    </row>
    <row r="21" spans="1:15" ht="12.75">
      <c r="A21" s="26"/>
      <c r="B21" s="21"/>
      <c r="C21" s="22" t="s">
        <v>99</v>
      </c>
      <c r="D21" s="26" t="s">
        <v>519</v>
      </c>
      <c r="E21" s="1285">
        <f>IF(ISNUMBER('FBPQ C2'!K13),'FBPQ C2'!K13,IF(ISNUMBER('FBPQ C2'!I13),'FBPQ C2'!I13,""))</f>
        <v>0.5085395924077201</v>
      </c>
      <c r="F21" s="1286" t="s">
        <v>798</v>
      </c>
      <c r="G21" s="1286">
        <f t="shared" si="2"/>
        <v>0.5085395924077201</v>
      </c>
      <c r="H21" s="1287">
        <f>IF(ISBLANK('FBPQ T4'!E13)," ",'FBPQ T4'!AE13)</f>
        <v>236300</v>
      </c>
      <c r="I21" s="1288">
        <f aca="true" t="shared" si="3" ref="I21:I84">IF(ISERROR(G21*H21)," ",G21*H21)</f>
        <v>120167.90568594425</v>
      </c>
      <c r="J21" t="s">
        <v>695</v>
      </c>
      <c r="K21" s="32"/>
      <c r="L21" t="s">
        <v>810</v>
      </c>
      <c r="M21" s="1369">
        <f t="shared" si="0"/>
        <v>1318694.3352575633</v>
      </c>
      <c r="N21" s="1370">
        <f t="shared" si="1"/>
        <v>0.07875119132355451</v>
      </c>
      <c r="O21" s="42"/>
    </row>
    <row r="22" spans="1:15" ht="12.75">
      <c r="A22" s="26"/>
      <c r="B22" s="21"/>
      <c r="C22" s="22"/>
      <c r="D22" s="26"/>
      <c r="E22" s="1285">
        <f>IF(ISNUMBER('FBPQ C2'!K14),'FBPQ C2'!K14,IF(ISNUMBER('FBPQ C2'!I14),'FBPQ C2'!I14,""))</f>
      </c>
      <c r="F22" s="1286"/>
      <c r="G22" s="1286">
        <f t="shared" si="2"/>
        <v>0</v>
      </c>
      <c r="H22" s="1287" t="str">
        <f>IF(ISBLANK('FBPQ T4'!E14)," ",'FBPQ T4'!AE14)</f>
        <v> </v>
      </c>
      <c r="I22" s="1288" t="str">
        <f t="shared" si="3"/>
        <v> </v>
      </c>
      <c r="J22" t="s">
        <v>695</v>
      </c>
      <c r="K22" s="32"/>
      <c r="L22" t="s">
        <v>815</v>
      </c>
      <c r="M22" s="1369">
        <f t="shared" si="0"/>
        <v>358370.52060258045</v>
      </c>
      <c r="N22" s="1370">
        <f t="shared" si="1"/>
        <v>0.021401552033802732</v>
      </c>
      <c r="O22" s="42"/>
    </row>
    <row r="23" spans="1:15" ht="12.75">
      <c r="A23" s="26"/>
      <c r="B23" s="21" t="s">
        <v>520</v>
      </c>
      <c r="C23" s="22"/>
      <c r="D23" s="26"/>
      <c r="E23" s="1285">
        <f>IF(ISNUMBER('FBPQ C2'!K15),'FBPQ C2'!K15,IF(ISNUMBER('FBPQ C2'!I15),'FBPQ C2'!I15,""))</f>
      </c>
      <c r="F23" s="1286"/>
      <c r="G23" s="1286">
        <f t="shared" si="2"/>
        <v>0</v>
      </c>
      <c r="H23" s="1287" t="str">
        <f>IF(ISBLANK('FBPQ T4'!E15)," ",'FBPQ T4'!AE15)</f>
        <v> </v>
      </c>
      <c r="I23" s="1288" t="str">
        <f t="shared" si="3"/>
        <v> </v>
      </c>
      <c r="J23" t="s">
        <v>695</v>
      </c>
      <c r="K23" s="32"/>
      <c r="L23" t="s">
        <v>811</v>
      </c>
      <c r="M23" s="1369">
        <f t="shared" si="0"/>
        <v>687177.2191354362</v>
      </c>
      <c r="N23" s="1370">
        <f t="shared" si="1"/>
        <v>0.04103758028713539</v>
      </c>
      <c r="O23" s="40"/>
    </row>
    <row r="24" spans="1:15" ht="12.75">
      <c r="A24" s="26"/>
      <c r="B24" s="21"/>
      <c r="C24" s="22" t="s">
        <v>521</v>
      </c>
      <c r="D24" s="26" t="s">
        <v>519</v>
      </c>
      <c r="E24" s="1289">
        <f>IF(ISNUMBER('FBPQ C2'!K16),'FBPQ C2'!K16,IF(ISNUMBER('FBPQ C2'!I16),'FBPQ C2'!I16,""))</f>
        <v>0</v>
      </c>
      <c r="F24" s="1286" t="s">
        <v>798</v>
      </c>
      <c r="G24" s="1286">
        <f t="shared" si="2"/>
        <v>0</v>
      </c>
      <c r="H24" s="1287">
        <f>IF(ISBLANK('FBPQ T4'!E16)," ",'FBPQ T4'!AE16)</f>
        <v>194497</v>
      </c>
      <c r="I24" s="1288">
        <f t="shared" si="3"/>
        <v>0</v>
      </c>
      <c r="J24" t="s">
        <v>695</v>
      </c>
      <c r="K24" s="32"/>
      <c r="L24" t="s">
        <v>813</v>
      </c>
      <c r="M24" s="1369">
        <f t="shared" si="0"/>
        <v>4276662.994708139</v>
      </c>
      <c r="N24" s="1370">
        <f t="shared" si="1"/>
        <v>0.25539831082753917</v>
      </c>
      <c r="O24" s="42"/>
    </row>
    <row r="25" spans="1:15" ht="12.75">
      <c r="A25" s="26"/>
      <c r="B25" s="21"/>
      <c r="C25" s="22"/>
      <c r="D25" s="26"/>
      <c r="E25" s="1285">
        <f>IF(ISNUMBER('FBPQ C2'!K17),'FBPQ C2'!K17,IF(ISNUMBER('FBPQ C2'!I17),'FBPQ C2'!I17,""))</f>
      </c>
      <c r="F25" s="1286"/>
      <c r="G25" s="1286">
        <f t="shared" si="2"/>
        <v>0</v>
      </c>
      <c r="H25" s="1287" t="str">
        <f>IF(ISBLANK('FBPQ T4'!E17)," ",'FBPQ T4'!AE17)</f>
        <v> </v>
      </c>
      <c r="I25" s="1288" t="str">
        <f t="shared" si="3"/>
        <v> </v>
      </c>
      <c r="J25" t="s">
        <v>695</v>
      </c>
      <c r="K25" s="32"/>
      <c r="L25" t="s">
        <v>64</v>
      </c>
      <c r="M25" s="1369">
        <f>SUM(M18:M24)</f>
        <v>16745071.574087303</v>
      </c>
      <c r="N25" s="1370">
        <f t="shared" si="1"/>
        <v>1</v>
      </c>
      <c r="O25" s="42"/>
    </row>
    <row r="26" spans="1:15" ht="12.75">
      <c r="A26" s="26"/>
      <c r="B26" s="21" t="s">
        <v>634</v>
      </c>
      <c r="C26" s="22"/>
      <c r="D26" s="26"/>
      <c r="E26" s="1285">
        <f>IF(ISNUMBER('FBPQ C2'!K18),'FBPQ C2'!K18,IF(ISNUMBER('FBPQ C2'!I18),'FBPQ C2'!I18,""))</f>
      </c>
      <c r="F26" s="1286"/>
      <c r="G26" s="1286">
        <f t="shared" si="2"/>
        <v>0</v>
      </c>
      <c r="H26" s="1287" t="str">
        <f>IF(ISBLANK('FBPQ T4'!E18)," ",'FBPQ T4'!AE18)</f>
        <v> </v>
      </c>
      <c r="I26" s="1288" t="str">
        <f t="shared" si="3"/>
        <v> </v>
      </c>
      <c r="J26" t="s">
        <v>695</v>
      </c>
      <c r="K26" s="32"/>
      <c r="L26"/>
      <c r="M26" s="1369"/>
      <c r="N26" s="1370"/>
      <c r="O26" s="40"/>
    </row>
    <row r="27" spans="1:15" ht="12.75">
      <c r="A27" s="26"/>
      <c r="B27" s="21"/>
      <c r="C27" s="22" t="s">
        <v>423</v>
      </c>
      <c r="D27" s="26" t="s">
        <v>844</v>
      </c>
      <c r="E27" s="1285">
        <f>IF(ISNUMBER('FBPQ C2'!K19),'FBPQ C2'!K19,IF(ISNUMBER('FBPQ C2'!I19),'FBPQ C2'!I19,""))</f>
        <v>127.13489810193002</v>
      </c>
      <c r="F27" s="1286" t="s">
        <v>798</v>
      </c>
      <c r="G27" s="1286">
        <f t="shared" si="2"/>
        <v>127.13489810193002</v>
      </c>
      <c r="H27" s="1287">
        <f>IF(ISBLANK('FBPQ T4'!E19)," ",'FBPQ T4'!AE19)</f>
        <v>3903</v>
      </c>
      <c r="I27" s="1288">
        <f t="shared" si="3"/>
        <v>496207.5072918329</v>
      </c>
      <c r="J27" t="s">
        <v>695</v>
      </c>
      <c r="K27" s="32"/>
      <c r="L27"/>
      <c r="M27" s="1369"/>
      <c r="N27" s="1370"/>
      <c r="O27" s="40"/>
    </row>
    <row r="28" spans="1:15" ht="12.75">
      <c r="A28" s="26"/>
      <c r="B28" s="21"/>
      <c r="C28" s="22" t="s">
        <v>386</v>
      </c>
      <c r="D28" s="26" t="s">
        <v>844</v>
      </c>
      <c r="E28" s="1285">
        <f>IF(ISNUMBER('FBPQ C2'!K20),'FBPQ C2'!K20,IF(ISNUMBER('FBPQ C2'!I20),'FBPQ C2'!I20,""))</f>
        <v>127.13489810193002</v>
      </c>
      <c r="F28" s="1286" t="s">
        <v>798</v>
      </c>
      <c r="G28" s="1286">
        <f t="shared" si="2"/>
        <v>127.13489810193002</v>
      </c>
      <c r="H28" s="1287">
        <f>IF(ISBLANK('FBPQ T4'!E20)," ",'FBPQ T4'!AE20)</f>
        <v>5782.7</v>
      </c>
      <c r="I28" s="1288">
        <f t="shared" si="3"/>
        <v>735182.9752540307</v>
      </c>
      <c r="J28" t="s">
        <v>695</v>
      </c>
      <c r="K28" s="32"/>
      <c r="L28" t="s">
        <v>810</v>
      </c>
      <c r="M28" s="1369">
        <f>M21</f>
        <v>1318694.3352575633</v>
      </c>
      <c r="N28" s="1370">
        <f>M28/M$32</f>
        <v>0.19857147804650008</v>
      </c>
      <c r="O28" s="40"/>
    </row>
    <row r="29" spans="1:15" ht="12.75">
      <c r="A29" s="26"/>
      <c r="B29" s="21"/>
      <c r="C29" s="22" t="s">
        <v>387</v>
      </c>
      <c r="D29" s="26" t="s">
        <v>844</v>
      </c>
      <c r="E29" s="1285">
        <f>IF(ISNUMBER('FBPQ C2'!K21),'FBPQ C2'!K21,IF(ISNUMBER('FBPQ C2'!I21),'FBPQ C2'!I21,""))</f>
        <v>127.13489810193002</v>
      </c>
      <c r="F29" s="1286" t="s">
        <v>798</v>
      </c>
      <c r="G29" s="1286">
        <f t="shared" si="2"/>
        <v>127.13489810193002</v>
      </c>
      <c r="H29" s="1287">
        <f>IF(ISBLANK('FBPQ T4'!E21)," ",'FBPQ T4'!AE21)</f>
        <v>16215.5</v>
      </c>
      <c r="I29" s="1288">
        <f t="shared" si="3"/>
        <v>2061555.9401718462</v>
      </c>
      <c r="J29" t="s">
        <v>695</v>
      </c>
      <c r="K29" s="32"/>
      <c r="L29" t="s">
        <v>815</v>
      </c>
      <c r="M29" s="1369">
        <f>M22</f>
        <v>358370.52060258045</v>
      </c>
      <c r="N29" s="1370">
        <f>M29/M$32</f>
        <v>0.0539641083317833</v>
      </c>
      <c r="O29" s="40"/>
    </row>
    <row r="30" spans="1:15" ht="12.75">
      <c r="A30" s="26"/>
      <c r="B30" s="21"/>
      <c r="C30" s="22" t="s">
        <v>388</v>
      </c>
      <c r="D30" s="26" t="s">
        <v>519</v>
      </c>
      <c r="E30" s="1285">
        <f>IF(ISNUMBER('FBPQ C2'!K22),'FBPQ C2'!K22,IF(ISNUMBER('FBPQ C2'!I22),'FBPQ C2'!I22,""))</f>
        <v>1.7000732843986286</v>
      </c>
      <c r="F30" s="1286" t="s">
        <v>798</v>
      </c>
      <c r="G30" s="1286">
        <f t="shared" si="2"/>
        <v>1.7000732843986286</v>
      </c>
      <c r="H30" s="1287">
        <f>IF(ISBLANK('FBPQ T4'!E22)," ",'FBPQ T4'!AE22)</f>
        <v>2225996</v>
      </c>
      <c r="I30" s="1288">
        <f t="shared" si="3"/>
        <v>3784356.3307782095</v>
      </c>
      <c r="J30" t="s">
        <v>695</v>
      </c>
      <c r="K30" s="32"/>
      <c r="L30" t="s">
        <v>811</v>
      </c>
      <c r="M30" s="1369">
        <f>M23</f>
        <v>687177.2191354362</v>
      </c>
      <c r="N30" s="1370">
        <f>M30/M$32</f>
        <v>0.10347644062409317</v>
      </c>
      <c r="O30" s="42"/>
    </row>
    <row r="31" spans="1:15" ht="12.75">
      <c r="A31" s="26"/>
      <c r="B31" s="21"/>
      <c r="C31" s="22"/>
      <c r="D31" s="26"/>
      <c r="E31" s="1285">
        <f>IF(ISNUMBER('FBPQ C2'!K23),'FBPQ C2'!K23,IF(ISNUMBER('FBPQ C2'!I23),'FBPQ C2'!I23,""))</f>
      </c>
      <c r="F31" s="1286"/>
      <c r="G31" s="1286">
        <f t="shared" si="2"/>
        <v>0</v>
      </c>
      <c r="H31" s="1287" t="str">
        <f>IF(ISBLANK('FBPQ T4'!E23)," ",'FBPQ T4'!AE23)</f>
        <v> </v>
      </c>
      <c r="I31" s="1288" t="str">
        <f t="shared" si="3"/>
        <v> </v>
      </c>
      <c r="J31" t="s">
        <v>695</v>
      </c>
      <c r="K31" s="32"/>
      <c r="L31" t="s">
        <v>813</v>
      </c>
      <c r="M31" s="1369">
        <f>M24</f>
        <v>4276662.994708139</v>
      </c>
      <c r="N31" s="1370">
        <f>M31/M$32</f>
        <v>0.6439879729976234</v>
      </c>
      <c r="O31" s="42"/>
    </row>
    <row r="32" spans="1:15" ht="12.75">
      <c r="A32" s="26"/>
      <c r="B32" s="21" t="s">
        <v>391</v>
      </c>
      <c r="C32" s="22"/>
      <c r="D32" s="26"/>
      <c r="E32" s="1285">
        <f>IF(ISNUMBER('FBPQ C2'!K24),'FBPQ C2'!K24,IF(ISNUMBER('FBPQ C2'!I24),'FBPQ C2'!I24,""))</f>
      </c>
      <c r="F32" s="1286"/>
      <c r="G32" s="1286">
        <f t="shared" si="2"/>
        <v>0</v>
      </c>
      <c r="H32" s="1287" t="str">
        <f>IF(ISBLANK('FBPQ T4'!E24)," ",'FBPQ T4'!AE24)</f>
        <v> </v>
      </c>
      <c r="I32" s="1288" t="str">
        <f t="shared" si="3"/>
        <v> </v>
      </c>
      <c r="J32" t="s">
        <v>695</v>
      </c>
      <c r="K32" s="32"/>
      <c r="L32" t="s">
        <v>65</v>
      </c>
      <c r="M32" s="1369">
        <f>SUM(M28:M31)</f>
        <v>6640905.06970372</v>
      </c>
      <c r="N32" s="1370">
        <f>M32/M$32</f>
        <v>1</v>
      </c>
      <c r="O32" s="40"/>
    </row>
    <row r="33" spans="1:15" ht="12.75">
      <c r="A33" s="26"/>
      <c r="B33" s="21"/>
      <c r="C33" s="22" t="s">
        <v>392</v>
      </c>
      <c r="D33" s="26" t="s">
        <v>519</v>
      </c>
      <c r="E33" s="1285">
        <f>IF(ISNUMBER('FBPQ C2'!K25),'FBPQ C2'!K25,IF(ISNUMBER('FBPQ C2'!I25),'FBPQ C2'!I25,""))</f>
        <v>5.721070414586851</v>
      </c>
      <c r="F33" s="1286" t="s">
        <v>798</v>
      </c>
      <c r="G33" s="1286">
        <f t="shared" si="2"/>
        <v>5.721070414586851</v>
      </c>
      <c r="H33" s="1287">
        <f>IF(ISBLANK('FBPQ T4'!E25)," ",'FBPQ T4'!AE25)</f>
        <v>5238</v>
      </c>
      <c r="I33" s="1288">
        <f t="shared" si="3"/>
        <v>29966.966831605925</v>
      </c>
      <c r="J33" t="s">
        <v>695</v>
      </c>
      <c r="K33" s="32"/>
      <c r="L33" s="33"/>
      <c r="M33" s="32"/>
      <c r="N33" s="41"/>
      <c r="O33" s="40"/>
    </row>
    <row r="34" spans="1:15" ht="12.75">
      <c r="A34" s="26"/>
      <c r="B34" s="21"/>
      <c r="C34" s="22" t="s">
        <v>393</v>
      </c>
      <c r="D34" s="26" t="s">
        <v>519</v>
      </c>
      <c r="E34" s="1285">
        <f>IF(ISNUMBER('FBPQ C2'!K26),'FBPQ C2'!K26,IF(ISNUMBER('FBPQ C2'!I26),'FBPQ C2'!I26,""))</f>
        <v>5.721070414586851</v>
      </c>
      <c r="F34" s="1286" t="s">
        <v>798</v>
      </c>
      <c r="G34" s="1286">
        <f t="shared" si="2"/>
        <v>5.721070414586851</v>
      </c>
      <c r="H34" s="1287">
        <f>IF(ISBLANK('FBPQ T4'!E26)," ",'FBPQ T4'!AE26)</f>
        <v>10420</v>
      </c>
      <c r="I34" s="1288">
        <f t="shared" si="3"/>
        <v>59613.55371999499</v>
      </c>
      <c r="J34" t="s">
        <v>695</v>
      </c>
      <c r="K34" s="32"/>
      <c r="L34" s="33"/>
      <c r="M34" s="32"/>
      <c r="N34" s="41"/>
      <c r="O34" s="40"/>
    </row>
    <row r="35" spans="1:15" ht="12.75">
      <c r="A35" s="26"/>
      <c r="B35" s="21"/>
      <c r="C35" s="22" t="s">
        <v>276</v>
      </c>
      <c r="D35" s="26" t="s">
        <v>519</v>
      </c>
      <c r="E35" s="1285">
        <f>IF(ISNUMBER('FBPQ C2'!K27),'FBPQ C2'!K27,IF(ISNUMBER('FBPQ C2'!I27),'FBPQ C2'!I27,""))</f>
        <v>5.721070414586851</v>
      </c>
      <c r="F35" s="1286" t="s">
        <v>798</v>
      </c>
      <c r="G35" s="1286">
        <f t="shared" si="2"/>
        <v>5.721070414586851</v>
      </c>
      <c r="H35" s="1287">
        <f>IF(ISBLANK('FBPQ T4'!E27)," ",'FBPQ T4'!AE27)</f>
        <v>0</v>
      </c>
      <c r="I35" s="1288">
        <f t="shared" si="3"/>
        <v>0</v>
      </c>
      <c r="J35" t="s">
        <v>695</v>
      </c>
      <c r="K35" s="32"/>
      <c r="L35" s="33"/>
      <c r="M35" s="32"/>
      <c r="N35" s="41"/>
      <c r="O35" s="40"/>
    </row>
    <row r="36" spans="1:15" ht="12.75">
      <c r="A36" s="26"/>
      <c r="B36" s="21"/>
      <c r="C36" s="22" t="s">
        <v>277</v>
      </c>
      <c r="D36" s="26" t="s">
        <v>519</v>
      </c>
      <c r="E36" s="1285">
        <f>IF(ISNUMBER('FBPQ C2'!K28),'FBPQ C2'!K28,IF(ISNUMBER('FBPQ C2'!I28),'FBPQ C2'!I28,""))</f>
        <v>4.831126127873341</v>
      </c>
      <c r="F36" s="1286" t="s">
        <v>798</v>
      </c>
      <c r="G36" s="1286">
        <f t="shared" si="2"/>
        <v>4.831126127873341</v>
      </c>
      <c r="H36" s="1287">
        <f>IF(ISBLANK('FBPQ T4'!E28)," ",'FBPQ T4'!AE28)</f>
        <v>21398.2</v>
      </c>
      <c r="I36" s="1288">
        <f t="shared" si="3"/>
        <v>103377.40310945932</v>
      </c>
      <c r="J36" t="s">
        <v>695</v>
      </c>
      <c r="K36" s="32"/>
      <c r="L36" s="33"/>
      <c r="M36" s="32"/>
      <c r="N36" s="41"/>
      <c r="O36" s="43"/>
    </row>
    <row r="37" spans="1:15" ht="12.75">
      <c r="A37" s="26"/>
      <c r="B37" s="21"/>
      <c r="C37" s="22" t="s">
        <v>544</v>
      </c>
      <c r="D37" s="26" t="s">
        <v>519</v>
      </c>
      <c r="E37" s="1289">
        <v>0</v>
      </c>
      <c r="F37" s="1286" t="s">
        <v>798</v>
      </c>
      <c r="G37" s="1286">
        <f t="shared" si="2"/>
        <v>0</v>
      </c>
      <c r="H37" s="1287">
        <f>IF(ISBLANK('FBPQ T4'!E29)," ",'FBPQ T4'!AE29)</f>
        <v>34104</v>
      </c>
      <c r="I37" s="1288">
        <f t="shared" si="3"/>
        <v>0</v>
      </c>
      <c r="J37" t="s">
        <v>695</v>
      </c>
      <c r="K37" s="32"/>
      <c r="L37" s="33"/>
      <c r="M37" s="32"/>
      <c r="N37" s="41"/>
      <c r="O37" s="43"/>
    </row>
    <row r="38" spans="1:15" ht="12.75">
      <c r="A38" s="26"/>
      <c r="B38" s="21"/>
      <c r="C38" s="22" t="s">
        <v>545</v>
      </c>
      <c r="D38" s="26" t="s">
        <v>519</v>
      </c>
      <c r="E38" s="1285">
        <f>IF(ISNUMBER('FBPQ C2'!K30),'FBPQ C2'!K30,IF(ISNUMBER('FBPQ C2'!I30),'FBPQ C2'!I30,""))</f>
      </c>
      <c r="F38" s="1286" t="s">
        <v>798</v>
      </c>
      <c r="G38" s="1286" t="str">
        <f t="shared" si="2"/>
        <v> </v>
      </c>
      <c r="H38" s="1287">
        <f>IF(ISBLANK('FBPQ T4'!E30)," ",'FBPQ T4'!AE30)</f>
        <v>0</v>
      </c>
      <c r="I38" s="1288" t="str">
        <f t="shared" si="3"/>
        <v> </v>
      </c>
      <c r="J38" t="s">
        <v>695</v>
      </c>
      <c r="K38" s="32"/>
      <c r="L38" s="33"/>
      <c r="M38" s="32"/>
      <c r="N38" s="41"/>
      <c r="O38" s="42"/>
    </row>
    <row r="39" spans="1:15" ht="12.75">
      <c r="A39" s="26"/>
      <c r="B39" s="21"/>
      <c r="C39" s="22"/>
      <c r="D39" s="26"/>
      <c r="E39" s="1285">
        <f>IF(ISNUMBER('FBPQ C2'!K31),'FBPQ C2'!K31,IF(ISNUMBER('FBPQ C2'!I31),'FBPQ C2'!I31,""))</f>
      </c>
      <c r="F39" s="1286"/>
      <c r="G39" s="1286">
        <f t="shared" si="2"/>
        <v>0</v>
      </c>
      <c r="H39" s="1287" t="str">
        <f>IF(ISBLANK('FBPQ T4'!E31)," ",'FBPQ T4'!AE31)</f>
        <v> </v>
      </c>
      <c r="I39" s="1288" t="str">
        <f t="shared" si="3"/>
        <v> </v>
      </c>
      <c r="J39" t="s">
        <v>695</v>
      </c>
      <c r="K39" s="44"/>
      <c r="L39" s="44"/>
      <c r="M39" s="44"/>
      <c r="N39" s="45"/>
      <c r="O39" s="42"/>
    </row>
    <row r="40" spans="1:15" ht="12.75">
      <c r="A40" s="26" t="s">
        <v>546</v>
      </c>
      <c r="B40" s="21"/>
      <c r="C40" s="22"/>
      <c r="D40" s="26"/>
      <c r="E40" s="1285">
        <f>IF(ISNUMBER('FBPQ C2'!K32),'FBPQ C2'!K32,IF(ISNUMBER('FBPQ C2'!I32),'FBPQ C2'!I32,""))</f>
      </c>
      <c r="F40" s="1286"/>
      <c r="G40" s="1286">
        <f t="shared" si="2"/>
        <v>0</v>
      </c>
      <c r="H40" s="1287" t="str">
        <f>IF(ISBLANK('FBPQ T4'!E32)," ",'FBPQ T4'!AE32)</f>
        <v> </v>
      </c>
      <c r="I40" s="1288" t="str">
        <f t="shared" si="3"/>
        <v> </v>
      </c>
      <c r="J40"/>
      <c r="K40" s="31"/>
      <c r="L40" s="31"/>
      <c r="M40" s="46"/>
      <c r="N40" s="41"/>
      <c r="O40" s="42"/>
    </row>
    <row r="41" spans="1:15" ht="12.75">
      <c r="A41" s="26"/>
      <c r="B41" s="21" t="s">
        <v>883</v>
      </c>
      <c r="C41" s="22"/>
      <c r="D41" s="26"/>
      <c r="E41" s="1285">
        <f>IF(ISNUMBER('FBPQ C2'!K33),'FBPQ C2'!K33,IF(ISNUMBER('FBPQ C2'!I33),'FBPQ C2'!I33,""))</f>
      </c>
      <c r="F41" s="1286"/>
      <c r="G41" s="1286">
        <f t="shared" si="2"/>
        <v>0</v>
      </c>
      <c r="H41" s="1287" t="str">
        <f>IF(ISBLANK('FBPQ T4'!E33)," ",'FBPQ T4'!AE33)</f>
        <v> </v>
      </c>
      <c r="I41" s="1288" t="str">
        <f t="shared" si="3"/>
        <v> </v>
      </c>
      <c r="J41" t="s">
        <v>694</v>
      </c>
      <c r="K41" s="32"/>
      <c r="L41" s="33"/>
      <c r="M41" s="32"/>
      <c r="N41" s="41"/>
      <c r="O41" s="40"/>
    </row>
    <row r="42" spans="1:15" ht="12.75">
      <c r="A42" s="26"/>
      <c r="B42" s="21"/>
      <c r="C42" s="22" t="s">
        <v>684</v>
      </c>
      <c r="D42" s="26" t="s">
        <v>844</v>
      </c>
      <c r="E42" s="1285">
        <f>IF(ISNUMBER('FBPQ C2'!K34),'FBPQ C2'!K34,IF(ISNUMBER('FBPQ C2'!I34),'FBPQ C2'!I34,""))</f>
        <v>43.09873045655427</v>
      </c>
      <c r="F42" s="1286" t="s">
        <v>798</v>
      </c>
      <c r="G42" s="1286">
        <f t="shared" si="2"/>
        <v>43.09873045655427</v>
      </c>
      <c r="H42" s="1287">
        <f>IF(ISBLANK('FBPQ T4'!E34)," ",'FBPQ T4'!AE34)</f>
        <v>14429.7</v>
      </c>
      <c r="I42" s="1288">
        <f t="shared" si="3"/>
        <v>621901.7508689412</v>
      </c>
      <c r="J42" t="s">
        <v>694</v>
      </c>
      <c r="K42" s="32"/>
      <c r="L42" s="33"/>
      <c r="M42" s="32"/>
      <c r="N42" s="41"/>
      <c r="O42" s="40"/>
    </row>
    <row r="43" spans="1:15" ht="12.75">
      <c r="A43" s="26"/>
      <c r="B43" s="21"/>
      <c r="C43" s="22" t="s">
        <v>685</v>
      </c>
      <c r="D43" s="26" t="s">
        <v>844</v>
      </c>
      <c r="E43" s="1285">
        <f>IF(ISNUMBER('FBPQ C2'!K35),'FBPQ C2'!K35,IF(ISNUMBER('FBPQ C2'!I35),'FBPQ C2'!I35,""))</f>
        <v>43.09873045655427</v>
      </c>
      <c r="F43" s="1286" t="s">
        <v>798</v>
      </c>
      <c r="G43" s="1286">
        <f t="shared" si="2"/>
        <v>43.09873045655427</v>
      </c>
      <c r="H43" s="1287">
        <f>IF(ISBLANK('FBPQ T4'!E35)," ",'FBPQ T4'!AE35)</f>
        <v>0</v>
      </c>
      <c r="I43" s="1288">
        <f t="shared" si="3"/>
        <v>0</v>
      </c>
      <c r="J43" t="s">
        <v>694</v>
      </c>
      <c r="K43" s="32"/>
      <c r="L43" s="33"/>
      <c r="M43" s="32"/>
      <c r="N43" s="41"/>
      <c r="O43" s="40"/>
    </row>
    <row r="44" spans="1:15" ht="12.75">
      <c r="A44" s="26"/>
      <c r="B44" s="21"/>
      <c r="C44" s="22" t="s">
        <v>686</v>
      </c>
      <c r="D44" s="26" t="s">
        <v>844</v>
      </c>
      <c r="E44" s="1285">
        <f>IF(ISNUMBER('FBPQ C2'!K36),'FBPQ C2'!K36,IF(ISNUMBER('FBPQ C2'!I36),'FBPQ C2'!I36,""))</f>
        <v>0</v>
      </c>
      <c r="F44" s="1286" t="s">
        <v>798</v>
      </c>
      <c r="G44" s="1286">
        <f t="shared" si="2"/>
        <v>0</v>
      </c>
      <c r="H44" s="1287">
        <f>IF(ISBLANK('FBPQ T4'!E36)," ",'FBPQ T4'!AE36)</f>
        <v>0</v>
      </c>
      <c r="I44" s="1288">
        <f t="shared" si="3"/>
        <v>0</v>
      </c>
      <c r="J44" t="s">
        <v>694</v>
      </c>
      <c r="K44" s="32"/>
      <c r="L44" s="32"/>
      <c r="M44" s="32"/>
      <c r="N44" s="41"/>
      <c r="O44" s="40"/>
    </row>
    <row r="45" spans="1:15" ht="12.75">
      <c r="A45" s="26"/>
      <c r="B45" s="21"/>
      <c r="C45" s="22" t="s">
        <v>269</v>
      </c>
      <c r="D45" s="26" t="s">
        <v>844</v>
      </c>
      <c r="E45" s="1285">
        <f>IF(ISNUMBER('FBPQ C2'!K37),'FBPQ C2'!K37,IF(ISNUMBER('FBPQ C2'!I37),'FBPQ C2'!I37,""))</f>
        <v>0</v>
      </c>
      <c r="F45" s="1286" t="s">
        <v>798</v>
      </c>
      <c r="G45" s="1286">
        <f t="shared" si="2"/>
        <v>0</v>
      </c>
      <c r="H45" s="1287">
        <f>IF(ISBLANK('FBPQ T4'!E37)," ",'FBPQ T4'!AE37)</f>
        <v>0</v>
      </c>
      <c r="I45" s="1288">
        <f t="shared" si="3"/>
        <v>0</v>
      </c>
      <c r="J45" t="s">
        <v>694</v>
      </c>
      <c r="K45" s="32"/>
      <c r="L45" s="32"/>
      <c r="M45" s="32"/>
      <c r="N45" s="41"/>
      <c r="O45" s="42"/>
    </row>
    <row r="46" spans="1:15" ht="12.75">
      <c r="A46" s="26"/>
      <c r="B46" s="21"/>
      <c r="C46" s="22"/>
      <c r="D46" s="26"/>
      <c r="E46" s="1285">
        <f>IF(ISNUMBER('FBPQ C2'!K38),'FBPQ C2'!K38,IF(ISNUMBER('FBPQ C2'!I38),'FBPQ C2'!I38,""))</f>
      </c>
      <c r="F46" s="1286"/>
      <c r="G46" s="1286">
        <f t="shared" si="2"/>
        <v>0</v>
      </c>
      <c r="H46" s="1287" t="str">
        <f>IF(ISBLANK('FBPQ T4'!E38)," ",'FBPQ T4'!AE38)</f>
        <v> </v>
      </c>
      <c r="I46" s="1288" t="str">
        <f t="shared" si="3"/>
        <v> </v>
      </c>
      <c r="J46" t="s">
        <v>694</v>
      </c>
      <c r="K46" s="32"/>
      <c r="L46" s="32"/>
      <c r="M46" s="32"/>
      <c r="N46" s="41"/>
      <c r="O46" s="42"/>
    </row>
    <row r="47" spans="1:15" ht="12.75">
      <c r="A47" s="26"/>
      <c r="B47" s="21" t="s">
        <v>520</v>
      </c>
      <c r="C47" s="22"/>
      <c r="D47" s="26"/>
      <c r="E47" s="1285">
        <f>IF(ISNUMBER('FBPQ C2'!K39),'FBPQ C2'!K39,IF(ISNUMBER('FBPQ C2'!I39),'FBPQ C2'!I39,""))</f>
      </c>
      <c r="F47" s="1286"/>
      <c r="G47" s="1286">
        <f t="shared" si="2"/>
        <v>0</v>
      </c>
      <c r="H47" s="1287" t="str">
        <f>IF(ISBLANK('FBPQ T4'!E39)," ",'FBPQ T4'!AE39)</f>
        <v> </v>
      </c>
      <c r="I47" s="1288" t="str">
        <f t="shared" si="3"/>
        <v> </v>
      </c>
      <c r="J47" t="s">
        <v>694</v>
      </c>
      <c r="K47" s="32"/>
      <c r="L47" s="33"/>
      <c r="M47" s="32"/>
      <c r="N47" s="41"/>
      <c r="O47" s="40"/>
    </row>
    <row r="48" spans="1:15" ht="12.75">
      <c r="A48" s="26"/>
      <c r="B48" s="21"/>
      <c r="C48" s="22" t="s">
        <v>417</v>
      </c>
      <c r="D48" s="26" t="s">
        <v>519</v>
      </c>
      <c r="E48" s="1289">
        <f>IF(ISNUMBER('FBPQ C2'!K40),'FBPQ C2'!K40,IF(ISNUMBER('FBPQ C2'!I40),'FBPQ C2'!I40,""))</f>
        <v>0</v>
      </c>
      <c r="F48" s="1286" t="s">
        <v>798</v>
      </c>
      <c r="G48" s="1286">
        <f t="shared" si="2"/>
        <v>0</v>
      </c>
      <c r="H48" s="1287">
        <f>IF(ISBLANK('FBPQ T4'!E40)," ",'FBPQ T4'!AE40)</f>
        <v>207731</v>
      </c>
      <c r="I48" s="1288">
        <f t="shared" si="3"/>
        <v>0</v>
      </c>
      <c r="J48" t="s">
        <v>694</v>
      </c>
      <c r="K48" s="32"/>
      <c r="L48" s="46"/>
      <c r="M48" s="32"/>
      <c r="N48" s="41"/>
      <c r="O48" s="40"/>
    </row>
    <row r="49" spans="1:15" ht="12.75">
      <c r="A49" s="26"/>
      <c r="B49" s="21"/>
      <c r="C49" s="22" t="s">
        <v>418</v>
      </c>
      <c r="D49" s="26" t="s">
        <v>519</v>
      </c>
      <c r="E49" s="1285">
        <f>IF(ISNUMBER('FBPQ C2'!K41),'FBPQ C2'!K41,IF(ISNUMBER('FBPQ C2'!I41),'FBPQ C2'!I41,""))</f>
        <v>0</v>
      </c>
      <c r="F49" s="1286" t="s">
        <v>798</v>
      </c>
      <c r="G49" s="1286">
        <f t="shared" si="2"/>
        <v>0</v>
      </c>
      <c r="H49" s="1287">
        <f>IF(ISBLANK('FBPQ T4'!E41)," ",'FBPQ T4'!AE41)</f>
        <v>0</v>
      </c>
      <c r="I49" s="1288">
        <f t="shared" si="3"/>
        <v>0</v>
      </c>
      <c r="J49" t="s">
        <v>694</v>
      </c>
      <c r="K49" s="32"/>
      <c r="L49" s="33"/>
      <c r="M49" s="32"/>
      <c r="N49" s="41"/>
      <c r="O49" s="42"/>
    </row>
    <row r="50" spans="1:15" ht="12.75">
      <c r="A50" s="26"/>
      <c r="B50" s="21"/>
      <c r="C50" s="22"/>
      <c r="D50" s="26"/>
      <c r="E50" s="1285">
        <f>IF(ISNUMBER('FBPQ C2'!K42),'FBPQ C2'!K42,IF(ISNUMBER('FBPQ C2'!I42),'FBPQ C2'!I42,""))</f>
      </c>
      <c r="F50" s="1286" t="s">
        <v>798</v>
      </c>
      <c r="G50" s="1286" t="str">
        <f t="shared" si="2"/>
        <v>DATA</v>
      </c>
      <c r="H50" s="1287" t="str">
        <f>IF(ISBLANK('FBPQ T4'!E42)," ",'FBPQ T4'!AE42)</f>
        <v> </v>
      </c>
      <c r="I50" s="1288" t="str">
        <f t="shared" si="3"/>
        <v> </v>
      </c>
      <c r="J50" t="s">
        <v>694</v>
      </c>
      <c r="K50" s="32"/>
      <c r="L50" s="32"/>
      <c r="M50" s="32"/>
      <c r="N50" s="41"/>
      <c r="O50" s="42"/>
    </row>
    <row r="51" spans="1:15" ht="12.75">
      <c r="A51" s="26"/>
      <c r="B51" s="21" t="s">
        <v>419</v>
      </c>
      <c r="C51" s="22"/>
      <c r="D51" s="26"/>
      <c r="E51" s="1285">
        <f>IF(ISNUMBER('FBPQ C2'!K43),'FBPQ C2'!K43,IF(ISNUMBER('FBPQ C2'!I43),'FBPQ C2'!I43,""))</f>
      </c>
      <c r="F51" s="1286"/>
      <c r="G51" s="1286">
        <f t="shared" si="2"/>
        <v>0</v>
      </c>
      <c r="H51" s="1287" t="str">
        <f>IF(ISBLANK('FBPQ T4'!E43)," ",'FBPQ T4'!AE43)</f>
        <v> </v>
      </c>
      <c r="I51" s="1288" t="str">
        <f t="shared" si="3"/>
        <v> </v>
      </c>
      <c r="J51" t="s">
        <v>694</v>
      </c>
      <c r="K51" s="32"/>
      <c r="L51" s="33"/>
      <c r="M51" s="32"/>
      <c r="N51" s="41"/>
      <c r="O51" s="40"/>
    </row>
    <row r="52" spans="1:15" ht="12.75">
      <c r="A52" s="26"/>
      <c r="B52" s="21"/>
      <c r="C52" s="22" t="s">
        <v>420</v>
      </c>
      <c r="D52" s="26" t="s">
        <v>844</v>
      </c>
      <c r="E52" s="1285">
        <f>IF(ISNUMBER('FBPQ C2'!K44),'FBPQ C2'!K44,IF(ISNUMBER('FBPQ C2'!I44),'FBPQ C2'!I44,""))</f>
        <v>84.54470723778346</v>
      </c>
      <c r="F52" s="1286" t="s">
        <v>798</v>
      </c>
      <c r="G52" s="1286">
        <f t="shared" si="2"/>
        <v>84.54470723778346</v>
      </c>
      <c r="H52" s="1287">
        <f>IF(ISBLANK('FBPQ T4'!E44)," ",'FBPQ T4'!AE44)</f>
        <v>12294.1</v>
      </c>
      <c r="I52" s="1288">
        <f t="shared" si="3"/>
        <v>1039401.0852520337</v>
      </c>
      <c r="J52" t="s">
        <v>694</v>
      </c>
      <c r="K52" s="32"/>
      <c r="L52" s="33"/>
      <c r="M52" s="32"/>
      <c r="N52" s="41"/>
      <c r="O52" s="40"/>
    </row>
    <row r="53" spans="1:15" ht="12.75">
      <c r="A53" s="26"/>
      <c r="B53" s="21"/>
      <c r="C53" s="22" t="s">
        <v>421</v>
      </c>
      <c r="D53" s="26" t="s">
        <v>844</v>
      </c>
      <c r="E53" s="1285">
        <f>IF(ISNUMBER('FBPQ C2'!K45),'FBPQ C2'!K45,IF(ISNUMBER('FBPQ C2'!I45),'FBPQ C2'!I45,""))</f>
        <v>0</v>
      </c>
      <c r="F53" s="1286" t="s">
        <v>798</v>
      </c>
      <c r="G53" s="1286">
        <f t="shared" si="2"/>
        <v>0</v>
      </c>
      <c r="H53" s="1287">
        <f>IF(ISBLANK('FBPQ T4'!E45)," ",'FBPQ T4'!AE45)</f>
        <v>0</v>
      </c>
      <c r="I53" s="1288">
        <f t="shared" si="3"/>
        <v>0</v>
      </c>
      <c r="J53" t="s">
        <v>694</v>
      </c>
      <c r="K53" s="32"/>
      <c r="L53" s="33"/>
      <c r="M53" s="32"/>
      <c r="N53" s="41"/>
      <c r="O53" s="42"/>
    </row>
    <row r="54" spans="1:15" ht="12.75">
      <c r="A54" s="26"/>
      <c r="B54" s="21"/>
      <c r="C54" s="22"/>
      <c r="D54" s="26"/>
      <c r="E54" s="1285">
        <f>IF(ISNUMBER('FBPQ C2'!K46),'FBPQ C2'!K46,IF(ISNUMBER('FBPQ C2'!I46),'FBPQ C2'!I46,""))</f>
      </c>
      <c r="F54" s="1286"/>
      <c r="G54" s="1286">
        <f t="shared" si="2"/>
        <v>0</v>
      </c>
      <c r="H54" s="1287" t="str">
        <f>IF(ISBLANK('FBPQ T4'!E46)," ",'FBPQ T4'!AE46)</f>
        <v> </v>
      </c>
      <c r="I54" s="1288" t="str">
        <f t="shared" si="3"/>
        <v> </v>
      </c>
      <c r="J54" t="s">
        <v>694</v>
      </c>
      <c r="K54" s="32"/>
      <c r="L54" s="33"/>
      <c r="M54" s="32"/>
      <c r="N54" s="41"/>
      <c r="O54" s="42"/>
    </row>
    <row r="55" spans="1:15" ht="12.75">
      <c r="A55" s="26"/>
      <c r="B55" s="21" t="s">
        <v>583</v>
      </c>
      <c r="C55" s="22"/>
      <c r="D55" s="26"/>
      <c r="E55" s="1285">
        <f>IF(ISNUMBER('FBPQ C2'!K47),'FBPQ C2'!K47,IF(ISNUMBER('FBPQ C2'!I47),'FBPQ C2'!I47,""))</f>
      </c>
      <c r="F55" s="1286"/>
      <c r="G55" s="1286">
        <f t="shared" si="2"/>
        <v>0</v>
      </c>
      <c r="H55" s="1287" t="str">
        <f>IF(ISBLANK('FBPQ T4'!E47)," ",'FBPQ T4'!AE47)</f>
        <v> </v>
      </c>
      <c r="I55" s="1288" t="str">
        <f t="shared" si="3"/>
        <v> </v>
      </c>
      <c r="J55" t="s">
        <v>694</v>
      </c>
      <c r="K55" s="32"/>
      <c r="L55" s="33"/>
      <c r="M55" s="32"/>
      <c r="N55" s="41"/>
      <c r="O55" s="40"/>
    </row>
    <row r="56" spans="1:15" ht="12.75">
      <c r="A56" s="26"/>
      <c r="B56" s="21"/>
      <c r="C56" s="22" t="s">
        <v>584</v>
      </c>
      <c r="D56" s="26" t="s">
        <v>844</v>
      </c>
      <c r="E56" s="1285">
        <f>IF(ISNUMBER('FBPQ C2'!K48),'FBPQ C2'!K48,IF(ISNUMBER('FBPQ C2'!I48),'FBPQ C2'!I48,""))</f>
        <v>0</v>
      </c>
      <c r="F56" s="1286" t="s">
        <v>798</v>
      </c>
      <c r="G56" s="1286">
        <f t="shared" si="2"/>
        <v>0</v>
      </c>
      <c r="H56" s="1287">
        <f>IF(ISBLANK('FBPQ T4'!E48)," ",'FBPQ T4'!AE48)</f>
        <v>0</v>
      </c>
      <c r="I56" s="1288">
        <f t="shared" si="3"/>
        <v>0</v>
      </c>
      <c r="J56" t="s">
        <v>694</v>
      </c>
      <c r="K56" s="32"/>
      <c r="L56" s="33"/>
      <c r="M56" s="32"/>
      <c r="N56" s="41"/>
      <c r="O56" s="42"/>
    </row>
    <row r="57" spans="1:15" ht="12.75">
      <c r="A57" s="26"/>
      <c r="B57" s="21"/>
      <c r="C57" s="22"/>
      <c r="D57" s="26"/>
      <c r="E57" s="1285">
        <f>IF(ISNUMBER('FBPQ C2'!K49),'FBPQ C2'!K49,IF(ISNUMBER('FBPQ C2'!I49),'FBPQ C2'!I49,""))</f>
      </c>
      <c r="F57" s="1286" t="s">
        <v>798</v>
      </c>
      <c r="G57" s="1286" t="str">
        <f t="shared" si="2"/>
        <v>DATA</v>
      </c>
      <c r="H57" s="1287" t="str">
        <f>IF(ISBLANK('FBPQ T4'!E49)," ",'FBPQ T4'!AE49)</f>
        <v> </v>
      </c>
      <c r="I57" s="1288" t="str">
        <f t="shared" si="3"/>
        <v> </v>
      </c>
      <c r="J57" t="s">
        <v>694</v>
      </c>
      <c r="K57" s="32"/>
      <c r="L57" s="33"/>
      <c r="M57" s="32"/>
      <c r="N57" s="41"/>
      <c r="O57" s="42"/>
    </row>
    <row r="58" spans="1:15" ht="12.75">
      <c r="A58" s="26"/>
      <c r="B58" s="21" t="s">
        <v>391</v>
      </c>
      <c r="C58" s="22"/>
      <c r="D58" s="26"/>
      <c r="E58" s="1285">
        <f>IF(ISNUMBER('FBPQ C2'!K50),'FBPQ C2'!K50,IF(ISNUMBER('FBPQ C2'!I50),'FBPQ C2'!I50,""))</f>
      </c>
      <c r="F58" s="1286"/>
      <c r="G58" s="1286">
        <f t="shared" si="2"/>
        <v>0</v>
      </c>
      <c r="H58" s="1287" t="str">
        <f>IF(ISBLANK('FBPQ T4'!E50)," ",'FBPQ T4'!AE50)</f>
        <v> </v>
      </c>
      <c r="I58" s="1288" t="str">
        <f t="shared" si="3"/>
        <v> </v>
      </c>
      <c r="J58" t="s">
        <v>694</v>
      </c>
      <c r="K58" s="32"/>
      <c r="L58" s="33"/>
      <c r="M58" s="32"/>
      <c r="N58" s="41"/>
      <c r="O58" s="40"/>
    </row>
    <row r="59" spans="1:15" ht="12.75">
      <c r="A59" s="26"/>
      <c r="B59" s="21"/>
      <c r="C59" s="22" t="s">
        <v>715</v>
      </c>
      <c r="D59" s="26" t="s">
        <v>519</v>
      </c>
      <c r="E59" s="1285">
        <f>IF(ISNUMBER('FBPQ C2'!K51),'FBPQ C2'!K51,IF(ISNUMBER('FBPQ C2'!I51),'FBPQ C2'!I51,""))</f>
        <v>13.984838791212301</v>
      </c>
      <c r="F59" s="1286" t="s">
        <v>798</v>
      </c>
      <c r="G59" s="1286">
        <f t="shared" si="2"/>
        <v>13.984838791212301</v>
      </c>
      <c r="H59" s="1287">
        <f>IF(ISBLANK('FBPQ T4'!E51)," ",'FBPQ T4'!AE51)</f>
        <v>1779</v>
      </c>
      <c r="I59" s="1288">
        <f t="shared" si="3"/>
        <v>24879.028209566684</v>
      </c>
      <c r="J59" t="s">
        <v>810</v>
      </c>
      <c r="K59" s="32"/>
      <c r="L59" s="33"/>
      <c r="M59" s="32"/>
      <c r="N59" s="41"/>
      <c r="O59" s="40"/>
    </row>
    <row r="60" spans="1:15" ht="12.75">
      <c r="A60" s="26"/>
      <c r="B60" s="21"/>
      <c r="C60" s="22" t="s">
        <v>725</v>
      </c>
      <c r="D60" s="26" t="s">
        <v>519</v>
      </c>
      <c r="E60" s="1285">
        <f>IF(ISNUMBER('FBPQ C2'!K52),'FBPQ C2'!K52,IF(ISNUMBER('FBPQ C2'!I52),'FBPQ C2'!I52,""))</f>
        <v>30.893780238768993</v>
      </c>
      <c r="F60" s="1286" t="s">
        <v>798</v>
      </c>
      <c r="G60" s="1286">
        <f t="shared" si="2"/>
        <v>30.893780238768993</v>
      </c>
      <c r="H60" s="1287">
        <f>IF(ISBLANK('FBPQ T4'!E52)," ",'FBPQ T4'!AE52)</f>
        <v>9875</v>
      </c>
      <c r="I60" s="1288">
        <f t="shared" si="3"/>
        <v>305076.0798578438</v>
      </c>
      <c r="J60" t="s">
        <v>810</v>
      </c>
      <c r="K60" s="32"/>
      <c r="L60" s="33"/>
      <c r="M60" s="32"/>
      <c r="N60" s="41"/>
      <c r="O60" s="40"/>
    </row>
    <row r="61" spans="1:15" ht="12.75">
      <c r="A61" s="26"/>
      <c r="B61" s="21"/>
      <c r="C61" s="22" t="s">
        <v>726</v>
      </c>
      <c r="D61" s="26" t="s">
        <v>519</v>
      </c>
      <c r="E61" s="1285">
        <f>IF(ISNUMBER('FBPQ C2'!K53),'FBPQ C2'!K53,IF(ISNUMBER('FBPQ C2'!I53),'FBPQ C2'!I53,""))</f>
        <v>1.6527536753250902</v>
      </c>
      <c r="F61" s="1286" t="s">
        <v>798</v>
      </c>
      <c r="G61" s="1286">
        <f t="shared" si="2"/>
        <v>1.6527536753250902</v>
      </c>
      <c r="H61" s="1287">
        <f>IF(ISBLANK('FBPQ T4'!E53)," ",'FBPQ T4'!AE53)</f>
        <v>935</v>
      </c>
      <c r="I61" s="1288">
        <f t="shared" si="3"/>
        <v>1545.3246864289592</v>
      </c>
      <c r="J61" t="s">
        <v>694</v>
      </c>
      <c r="K61" s="32"/>
      <c r="L61" s="33"/>
      <c r="M61" s="32"/>
      <c r="N61" s="41"/>
      <c r="O61" s="40"/>
    </row>
    <row r="62" spans="1:15" ht="12.75">
      <c r="A62" s="26"/>
      <c r="B62" s="21"/>
      <c r="C62" s="22" t="s">
        <v>596</v>
      </c>
      <c r="D62" s="26" t="s">
        <v>519</v>
      </c>
      <c r="E62" s="1285">
        <f>IF(ISNUMBER('FBPQ C2'!K54),'FBPQ C2'!K54,IF(ISNUMBER('FBPQ C2'!I54),'FBPQ C2'!I54,""))</f>
        <v>5.21253082217913</v>
      </c>
      <c r="F62" s="1286" t="s">
        <v>798</v>
      </c>
      <c r="G62" s="1286">
        <f t="shared" si="2"/>
        <v>5.21253082217913</v>
      </c>
      <c r="H62" s="1287">
        <f>IF(ISBLANK('FBPQ T4'!E54)," ",'FBPQ T4'!AE54)</f>
        <v>8754</v>
      </c>
      <c r="I62" s="1288">
        <f t="shared" si="3"/>
        <v>45630.494817356106</v>
      </c>
      <c r="J62" t="s">
        <v>90</v>
      </c>
      <c r="K62" s="32"/>
      <c r="L62" s="33"/>
      <c r="M62" s="32"/>
      <c r="N62" s="41"/>
      <c r="O62" s="40"/>
    </row>
    <row r="63" spans="1:15" ht="12.75">
      <c r="A63" s="26"/>
      <c r="B63" s="21"/>
      <c r="C63" s="22" t="s">
        <v>576</v>
      </c>
      <c r="D63" s="26" t="s">
        <v>519</v>
      </c>
      <c r="E63" s="1285">
        <f>IF(ISNUMBER('FBPQ C2'!K55),'FBPQ C2'!K55,IF(ISNUMBER('FBPQ C2'!I55),'FBPQ C2'!I55,""))</f>
        <v>16.40040185514897</v>
      </c>
      <c r="F63" s="1286" t="s">
        <v>798</v>
      </c>
      <c r="G63" s="1286">
        <f t="shared" si="2"/>
        <v>16.40040185514897</v>
      </c>
      <c r="H63" s="1287">
        <f>IF(ISBLANK('FBPQ T4'!E55)," ",'FBPQ T4'!AE55)</f>
        <v>13991</v>
      </c>
      <c r="I63" s="1288">
        <f t="shared" si="3"/>
        <v>229458.02235538926</v>
      </c>
      <c r="J63" t="s">
        <v>90</v>
      </c>
      <c r="K63" s="32"/>
      <c r="L63" s="33"/>
      <c r="M63" s="32"/>
      <c r="N63" s="41"/>
      <c r="O63" s="43"/>
    </row>
    <row r="64" spans="1:15" ht="12.75">
      <c r="A64" s="26"/>
      <c r="B64" s="21"/>
      <c r="C64" s="22" t="s">
        <v>427</v>
      </c>
      <c r="D64" s="26" t="s">
        <v>519</v>
      </c>
      <c r="E64" s="1289">
        <f>E61</f>
        <v>1.6527536753250902</v>
      </c>
      <c r="F64" s="1286" t="s">
        <v>798</v>
      </c>
      <c r="G64" s="1286">
        <f t="shared" si="2"/>
        <v>1.6527536753250902</v>
      </c>
      <c r="H64" s="1287">
        <f>IF(ISBLANK('FBPQ T4'!E56)," ",'FBPQ T4'!AE56)</f>
        <v>11321</v>
      </c>
      <c r="I64" s="1288">
        <f t="shared" si="3"/>
        <v>18710.824358355345</v>
      </c>
      <c r="J64" t="s">
        <v>694</v>
      </c>
      <c r="K64" s="32"/>
      <c r="L64" s="33"/>
      <c r="M64" s="32"/>
      <c r="N64" s="41"/>
      <c r="O64" s="43"/>
    </row>
    <row r="65" spans="1:15" ht="12.75">
      <c r="A65" s="26"/>
      <c r="B65" s="21"/>
      <c r="C65" s="22" t="s">
        <v>717</v>
      </c>
      <c r="D65" s="26" t="s">
        <v>519</v>
      </c>
      <c r="E65" s="1285">
        <f>IF(ISNUMBER('FBPQ C2'!K57),'FBPQ C2'!K57,IF(ISNUMBER('FBPQ C2'!I57),'FBPQ C2'!I57,""))</f>
      </c>
      <c r="F65" s="1286" t="s">
        <v>798</v>
      </c>
      <c r="G65" s="1286" t="str">
        <f t="shared" si="2"/>
        <v> </v>
      </c>
      <c r="H65" s="1287">
        <f>IF(ISBLANK('FBPQ T4'!E57)," ",'FBPQ T4'!AE57)</f>
        <v>0</v>
      </c>
      <c r="I65" s="1288" t="str">
        <f t="shared" si="3"/>
        <v> </v>
      </c>
      <c r="J65" t="s">
        <v>694</v>
      </c>
      <c r="K65" s="32"/>
      <c r="L65" s="33"/>
      <c r="M65" s="32"/>
      <c r="N65" s="41"/>
      <c r="O65" s="40"/>
    </row>
    <row r="66" spans="1:15" ht="12.75">
      <c r="A66" s="26"/>
      <c r="B66" s="21"/>
      <c r="C66" s="22" t="s">
        <v>296</v>
      </c>
      <c r="D66" s="26" t="s">
        <v>519</v>
      </c>
      <c r="E66" s="1285">
        <f>IF(ISNUMBER('FBPQ C2'!K58),'FBPQ C2'!K58,IF(ISNUMBER('FBPQ C2'!I58),'FBPQ C2'!I58,""))</f>
        <v>0</v>
      </c>
      <c r="F66" s="1286" t="s">
        <v>798</v>
      </c>
      <c r="G66" s="1286">
        <f t="shared" si="2"/>
        <v>0</v>
      </c>
      <c r="H66" s="1287">
        <f>IF(ISBLANK('FBPQ T4'!E58)," ",'FBPQ T4'!AE58)</f>
        <v>0</v>
      </c>
      <c r="I66" s="1288">
        <f t="shared" si="3"/>
        <v>0</v>
      </c>
      <c r="J66" t="s">
        <v>810</v>
      </c>
      <c r="K66" s="32"/>
      <c r="L66" s="32"/>
      <c r="M66" s="32"/>
      <c r="N66" s="41"/>
      <c r="O66" s="40"/>
    </row>
    <row r="67" spans="1:15" ht="12.75">
      <c r="A67" s="26"/>
      <c r="B67" s="21"/>
      <c r="C67" s="22" t="s">
        <v>280</v>
      </c>
      <c r="D67" s="26" t="s">
        <v>519</v>
      </c>
      <c r="E67" s="1285">
        <f>IF(ISNUMBER('FBPQ C2'!K59),'FBPQ C2'!K59,IF(ISNUMBER('FBPQ C2'!I59),'FBPQ C2'!I59,""))</f>
        <v>0</v>
      </c>
      <c r="F67" s="1286" t="s">
        <v>798</v>
      </c>
      <c r="G67" s="1286">
        <f t="shared" si="2"/>
        <v>0</v>
      </c>
      <c r="H67" s="1287">
        <f>IF(ISBLANK('FBPQ T4'!E59)," ",'FBPQ T4'!AE59)</f>
        <v>0</v>
      </c>
      <c r="I67" s="1288">
        <f t="shared" si="3"/>
        <v>0</v>
      </c>
      <c r="J67" t="s">
        <v>810</v>
      </c>
      <c r="K67" s="32"/>
      <c r="L67" s="32"/>
      <c r="M67" s="32"/>
      <c r="N67" s="41"/>
      <c r="O67" s="40"/>
    </row>
    <row r="68" spans="1:15" ht="12.75">
      <c r="A68" s="26"/>
      <c r="B68" s="21"/>
      <c r="C68" s="22" t="s">
        <v>281</v>
      </c>
      <c r="D68" s="26" t="s">
        <v>519</v>
      </c>
      <c r="E68" s="1285">
        <f>IF(ISNUMBER('FBPQ C2'!K60),'FBPQ C2'!K60,IF(ISNUMBER('FBPQ C2'!I60),'FBPQ C2'!I60,""))</f>
        <v>0</v>
      </c>
      <c r="F68" s="1286" t="s">
        <v>798</v>
      </c>
      <c r="G68" s="1286">
        <f t="shared" si="2"/>
        <v>0</v>
      </c>
      <c r="H68" s="1287">
        <f>IF(ISBLANK('FBPQ T4'!E60)," ",'FBPQ T4'!AE60)</f>
        <v>0</v>
      </c>
      <c r="I68" s="1288">
        <f t="shared" si="3"/>
        <v>0</v>
      </c>
      <c r="J68" t="s">
        <v>694</v>
      </c>
      <c r="K68" s="32"/>
      <c r="L68" s="33"/>
      <c r="M68" s="32"/>
      <c r="N68" s="41"/>
      <c r="O68" s="40"/>
    </row>
    <row r="69" spans="1:15" ht="12.75">
      <c r="A69" s="26"/>
      <c r="B69" s="21"/>
      <c r="C69" s="22" t="s">
        <v>282</v>
      </c>
      <c r="D69" s="26" t="s">
        <v>519</v>
      </c>
      <c r="E69" s="1285">
        <f>IF(ISNUMBER('FBPQ C2'!K61),'FBPQ C2'!K61,IF(ISNUMBER('FBPQ C2'!I61),'FBPQ C2'!I61,""))</f>
        <v>0</v>
      </c>
      <c r="F69" s="1286" t="s">
        <v>798</v>
      </c>
      <c r="G69" s="1286">
        <f t="shared" si="2"/>
        <v>0</v>
      </c>
      <c r="H69" s="1287">
        <f>IF(ISBLANK('FBPQ T4'!E61)," ",'FBPQ T4'!AE61)</f>
        <v>0</v>
      </c>
      <c r="I69" s="1288">
        <f t="shared" si="3"/>
        <v>0</v>
      </c>
      <c r="J69" t="s">
        <v>90</v>
      </c>
      <c r="K69" s="32"/>
      <c r="L69" s="33"/>
      <c r="M69" s="32"/>
      <c r="N69" s="41"/>
      <c r="O69" s="40"/>
    </row>
    <row r="70" spans="1:15" ht="12.75">
      <c r="A70" s="26"/>
      <c r="B70" s="21"/>
      <c r="C70" s="22" t="s">
        <v>285</v>
      </c>
      <c r="D70" s="26" t="s">
        <v>519</v>
      </c>
      <c r="E70" s="1285">
        <f>IF(ISNUMBER('FBPQ C2'!K62),'FBPQ C2'!K62,IF(ISNUMBER('FBPQ C2'!I62),'FBPQ C2'!I62,""))</f>
        <v>0</v>
      </c>
      <c r="F70" s="1286" t="s">
        <v>798</v>
      </c>
      <c r="G70" s="1286">
        <f t="shared" si="2"/>
        <v>0</v>
      </c>
      <c r="H70" s="1287">
        <f>IF(ISBLANK('FBPQ T4'!E62)," ",'FBPQ T4'!AE62)</f>
        <v>0</v>
      </c>
      <c r="I70" s="1288">
        <f t="shared" si="3"/>
        <v>0</v>
      </c>
      <c r="J70" t="s">
        <v>90</v>
      </c>
      <c r="K70" s="32"/>
      <c r="L70" s="33"/>
      <c r="M70" s="32"/>
      <c r="N70" s="41"/>
      <c r="O70" s="43"/>
    </row>
    <row r="71" spans="1:15" ht="12.75">
      <c r="A71" s="26"/>
      <c r="B71" s="21"/>
      <c r="C71" s="22" t="s">
        <v>424</v>
      </c>
      <c r="D71" s="26" t="s">
        <v>519</v>
      </c>
      <c r="E71" s="1285">
        <f>IF(ISNUMBER('FBPQ C2'!K63),'FBPQ C2'!K63,IF(ISNUMBER('FBPQ C2'!I63),'FBPQ C2'!I63,""))</f>
      </c>
      <c r="F71" s="1286" t="s">
        <v>798</v>
      </c>
      <c r="G71" s="1286" t="str">
        <f t="shared" si="2"/>
        <v> </v>
      </c>
      <c r="H71" s="1287">
        <f>IF(ISBLANK('FBPQ T4'!E63)," ",'FBPQ T4'!AE63)</f>
        <v>0</v>
      </c>
      <c r="I71" s="1288" t="str">
        <f t="shared" si="3"/>
        <v> </v>
      </c>
      <c r="J71" t="s">
        <v>694</v>
      </c>
      <c r="K71" s="32"/>
      <c r="L71" s="33"/>
      <c r="M71" s="32"/>
      <c r="N71" s="41"/>
      <c r="O71" s="43"/>
    </row>
    <row r="72" spans="1:15" ht="12.75">
      <c r="A72" s="26"/>
      <c r="B72" s="21"/>
      <c r="C72" s="22" t="s">
        <v>289</v>
      </c>
      <c r="D72" s="26" t="s">
        <v>519</v>
      </c>
      <c r="E72" s="1285">
        <f>IF(ISNUMBER('FBPQ C2'!K64),'FBPQ C2'!K64,IF(ISNUMBER('FBPQ C2'!I64),'FBPQ C2'!I64,""))</f>
      </c>
      <c r="F72" s="1286" t="s">
        <v>798</v>
      </c>
      <c r="G72" s="1286" t="str">
        <f t="shared" si="2"/>
        <v> </v>
      </c>
      <c r="H72" s="1287">
        <f>IF(ISBLANK('FBPQ T4'!E64)," ",'FBPQ T4'!AE64)</f>
        <v>0</v>
      </c>
      <c r="I72" s="1288" t="str">
        <f t="shared" si="3"/>
        <v> </v>
      </c>
      <c r="J72" t="s">
        <v>694</v>
      </c>
      <c r="K72" s="32"/>
      <c r="L72" s="33"/>
      <c r="M72" s="32"/>
      <c r="N72" s="41"/>
      <c r="O72" s="42"/>
    </row>
    <row r="73" spans="1:15" ht="12.75">
      <c r="A73" s="26"/>
      <c r="B73" s="21"/>
      <c r="C73" s="22"/>
      <c r="D73" s="26"/>
      <c r="E73" s="1285">
        <f>IF(ISNUMBER('FBPQ C2'!K65),'FBPQ C2'!K65,IF(ISNUMBER('FBPQ C2'!I65),'FBPQ C2'!I65,""))</f>
      </c>
      <c r="F73" s="1286"/>
      <c r="G73" s="1286">
        <f t="shared" si="2"/>
        <v>0</v>
      </c>
      <c r="H73" s="1287" t="str">
        <f>IF(ISBLANK('FBPQ T4'!E65)," ",'FBPQ T4'!AE65)</f>
        <v> </v>
      </c>
      <c r="I73" s="1288" t="str">
        <f t="shared" si="3"/>
        <v> </v>
      </c>
      <c r="J73"/>
      <c r="K73" s="32"/>
      <c r="L73" s="33"/>
      <c r="M73" s="32"/>
      <c r="N73" s="41"/>
      <c r="O73" s="42"/>
    </row>
    <row r="74" spans="1:15" ht="12.75">
      <c r="A74" s="26"/>
      <c r="B74" s="21" t="s">
        <v>146</v>
      </c>
      <c r="C74" s="22"/>
      <c r="D74" s="26"/>
      <c r="E74" s="1285">
        <f>IF(ISNUMBER('FBPQ C2'!K66),'FBPQ C2'!K66,IF(ISNUMBER('FBPQ C2'!I66),'FBPQ C2'!I66,""))</f>
      </c>
      <c r="F74" s="1286"/>
      <c r="G74" s="1286">
        <f t="shared" si="2"/>
        <v>0</v>
      </c>
      <c r="H74" s="1287" t="str">
        <f>IF(ISBLANK('FBPQ T4'!E66)," ",'FBPQ T4'!AE66)</f>
        <v> </v>
      </c>
      <c r="I74" s="1288" t="str">
        <f t="shared" si="3"/>
        <v> </v>
      </c>
      <c r="J74"/>
      <c r="K74" s="32"/>
      <c r="L74" s="33"/>
      <c r="M74" s="32"/>
      <c r="N74" s="41"/>
      <c r="O74" s="40"/>
    </row>
    <row r="75" spans="1:15" ht="12.75">
      <c r="A75" s="26"/>
      <c r="B75" s="21"/>
      <c r="C75" s="22" t="s">
        <v>147</v>
      </c>
      <c r="D75" s="26" t="s">
        <v>519</v>
      </c>
      <c r="E75" s="1285">
        <f>IF(ISNUMBER('FBPQ C2'!K67),'FBPQ C2'!K67,IF(ISNUMBER('FBPQ C2'!I67),'FBPQ C2'!I67,""))</f>
        <v>3.68691204495597</v>
      </c>
      <c r="F75" s="1286" t="s">
        <v>798</v>
      </c>
      <c r="G75" s="1286">
        <f t="shared" si="2"/>
        <v>3.68691204495597</v>
      </c>
      <c r="H75" s="1287">
        <f>IF(ISBLANK('FBPQ T4'!E67)," ",'FBPQ T4'!AE67)</f>
        <v>34852</v>
      </c>
      <c r="I75" s="1288">
        <f t="shared" si="3"/>
        <v>128496.25859080546</v>
      </c>
      <c r="J75" t="s">
        <v>90</v>
      </c>
      <c r="K75" s="32"/>
      <c r="L75" s="33"/>
      <c r="M75" s="32"/>
      <c r="N75" s="41"/>
      <c r="O75" s="40"/>
    </row>
    <row r="76" spans="1:15" ht="12.75">
      <c r="A76" s="26"/>
      <c r="B76" s="21"/>
      <c r="C76" s="22" t="s">
        <v>148</v>
      </c>
      <c r="D76" s="26" t="s">
        <v>519</v>
      </c>
      <c r="E76" s="1285">
        <f>IF(ISNUMBER('FBPQ C2'!K68),'FBPQ C2'!K68,IF(ISNUMBER('FBPQ C2'!I68),'FBPQ C2'!I68,""))</f>
        <v>11.95068042158142</v>
      </c>
      <c r="F76" s="1286" t="s">
        <v>798</v>
      </c>
      <c r="G76" s="1286">
        <f t="shared" si="2"/>
        <v>11.95068042158142</v>
      </c>
      <c r="H76" s="1287">
        <f>IF(ISBLANK('FBPQ T4'!E68)," ",'FBPQ T4'!AE68)</f>
        <v>15750</v>
      </c>
      <c r="I76" s="1288">
        <f t="shared" si="3"/>
        <v>188223.21663990736</v>
      </c>
      <c r="J76" t="s">
        <v>90</v>
      </c>
      <c r="K76" s="32"/>
      <c r="L76" s="33"/>
      <c r="M76" s="32"/>
      <c r="N76" s="41"/>
      <c r="O76" s="40"/>
    </row>
    <row r="77" spans="1:15" ht="12.75">
      <c r="A77" s="26"/>
      <c r="B77" s="21"/>
      <c r="C77" s="22" t="s">
        <v>149</v>
      </c>
      <c r="D77" s="26" t="s">
        <v>519</v>
      </c>
      <c r="E77" s="1285">
        <f>IF(ISNUMBER('FBPQ C2'!K69),'FBPQ C2'!K69,IF(ISNUMBER('FBPQ C2'!I69),'FBPQ C2'!I69,""))</f>
        <v>0</v>
      </c>
      <c r="F77" s="1286" t="s">
        <v>798</v>
      </c>
      <c r="G77" s="1286">
        <f t="shared" si="2"/>
        <v>0</v>
      </c>
      <c r="H77" s="1287">
        <f>IF(ISBLANK('FBPQ T4'!E69)," ",'FBPQ T4'!AE69)</f>
        <v>0</v>
      </c>
      <c r="I77" s="1288">
        <f t="shared" si="3"/>
        <v>0</v>
      </c>
      <c r="J77" t="s">
        <v>90</v>
      </c>
      <c r="K77" s="32"/>
      <c r="L77" s="33"/>
      <c r="M77" s="32"/>
      <c r="N77" s="41"/>
      <c r="O77" s="40"/>
    </row>
    <row r="78" spans="1:15" ht="12.75">
      <c r="A78" s="26"/>
      <c r="B78" s="21"/>
      <c r="C78" s="22" t="s">
        <v>150</v>
      </c>
      <c r="D78" s="26" t="s">
        <v>519</v>
      </c>
      <c r="E78" s="1285">
        <f>IF(ISNUMBER('FBPQ C2'!K70),'FBPQ C2'!K70,IF(ISNUMBER('FBPQ C2'!I70),'FBPQ C2'!I70,""))</f>
        <v>0</v>
      </c>
      <c r="F78" s="1286" t="s">
        <v>798</v>
      </c>
      <c r="G78" s="1286">
        <f t="shared" si="2"/>
        <v>0</v>
      </c>
      <c r="H78" s="1287">
        <f>IF(ISBLANK('FBPQ T4'!E70)," ",'FBPQ T4'!AE70)</f>
        <v>0</v>
      </c>
      <c r="I78" s="1288">
        <f t="shared" si="3"/>
        <v>0</v>
      </c>
      <c r="J78" t="s">
        <v>90</v>
      </c>
      <c r="K78" s="32"/>
      <c r="L78" s="33"/>
      <c r="M78" s="32"/>
      <c r="N78" s="41"/>
      <c r="O78" s="42"/>
    </row>
    <row r="79" spans="1:15" ht="12.75">
      <c r="A79" s="26"/>
      <c r="B79" s="21"/>
      <c r="C79" s="22"/>
      <c r="D79" s="26"/>
      <c r="E79" s="1285">
        <f>IF(ISNUMBER('FBPQ C2'!K71),'FBPQ C2'!K71,IF(ISNUMBER('FBPQ C2'!I71),'FBPQ C2'!I71,""))</f>
      </c>
      <c r="F79" s="1286"/>
      <c r="G79" s="1286">
        <f t="shared" si="2"/>
        <v>0</v>
      </c>
      <c r="H79" s="1287" t="str">
        <f>IF(ISBLANK('FBPQ T4'!E71)," ",'FBPQ T4'!AE71)</f>
        <v> </v>
      </c>
      <c r="I79" s="1288" t="str">
        <f t="shared" si="3"/>
        <v> </v>
      </c>
      <c r="J79"/>
      <c r="K79" s="44"/>
      <c r="L79" s="44"/>
      <c r="M79" s="44"/>
      <c r="N79" s="45"/>
      <c r="O79" s="42"/>
    </row>
    <row r="80" spans="1:15" ht="12.75">
      <c r="A80" s="26" t="s">
        <v>301</v>
      </c>
      <c r="B80" s="21"/>
      <c r="C80" s="22"/>
      <c r="D80" s="26"/>
      <c r="E80" s="1285">
        <f>IF(ISNUMBER('FBPQ C2'!K72),'FBPQ C2'!K72,IF(ISNUMBER('FBPQ C2'!I72),'FBPQ C2'!I72,""))</f>
      </c>
      <c r="F80" s="1286"/>
      <c r="G80" s="1286">
        <f t="shared" si="2"/>
        <v>0</v>
      </c>
      <c r="H80" s="1287" t="str">
        <f>IF(ISBLANK('FBPQ T4'!E72)," ",'FBPQ T4'!AE72)</f>
        <v> </v>
      </c>
      <c r="I80" s="1288" t="str">
        <f t="shared" si="3"/>
        <v> </v>
      </c>
      <c r="J80"/>
      <c r="K80" s="31"/>
      <c r="L80" s="31"/>
      <c r="M80" s="46"/>
      <c r="N80" s="41"/>
      <c r="O80" s="42"/>
    </row>
    <row r="81" spans="1:15" ht="12.75">
      <c r="A81" s="26"/>
      <c r="B81" s="21" t="s">
        <v>883</v>
      </c>
      <c r="C81" s="22"/>
      <c r="D81" s="26"/>
      <c r="E81" s="1285">
        <f>IF(ISNUMBER('FBPQ C2'!K73),'FBPQ C2'!K73,IF(ISNUMBER('FBPQ C2'!I73),'FBPQ C2'!I73,""))</f>
      </c>
      <c r="F81" s="1286"/>
      <c r="G81" s="1286">
        <f t="shared" si="2"/>
        <v>0</v>
      </c>
      <c r="H81" s="1287" t="str">
        <f>IF(ISBLANK('FBPQ T4'!E73)," ",'FBPQ T4'!AE73)</f>
        <v> </v>
      </c>
      <c r="I81" s="1288" t="str">
        <f t="shared" si="3"/>
        <v> </v>
      </c>
      <c r="J81"/>
      <c r="K81" s="32"/>
      <c r="L81" s="33"/>
      <c r="M81" s="32"/>
      <c r="N81" s="41"/>
      <c r="O81" s="40"/>
    </row>
    <row r="82" spans="1:15" ht="12.75">
      <c r="A82" s="26"/>
      <c r="B82" s="21"/>
      <c r="C82" s="22" t="s">
        <v>302</v>
      </c>
      <c r="D82" s="26" t="s">
        <v>844</v>
      </c>
      <c r="E82" s="1285">
        <f>IF(ISNUMBER('FBPQ C2'!K74),'FBPQ C2'!K74,IF(ISNUMBER('FBPQ C2'!I74),'FBPQ C2'!I74,""))</f>
        <v>98.40241113089384</v>
      </c>
      <c r="F82" s="1286" t="s">
        <v>798</v>
      </c>
      <c r="G82" s="1286">
        <f t="shared" si="2"/>
        <v>98.40241113089384</v>
      </c>
      <c r="H82" s="1287">
        <f>IF(ISBLANK('FBPQ T4'!E74)," ",'FBPQ T4'!AE74)</f>
        <v>1029</v>
      </c>
      <c r="I82" s="1288">
        <f t="shared" si="3"/>
        <v>101256.08105368976</v>
      </c>
      <c r="J82" t="s">
        <v>815</v>
      </c>
      <c r="K82" s="32"/>
      <c r="L82" s="32"/>
      <c r="M82" s="32"/>
      <c r="N82" s="41"/>
      <c r="O82" s="40"/>
    </row>
    <row r="83" spans="1:15" ht="12.75">
      <c r="A83" s="26"/>
      <c r="B83" s="21"/>
      <c r="C83" s="22" t="s">
        <v>303</v>
      </c>
      <c r="D83" s="26" t="s">
        <v>844</v>
      </c>
      <c r="E83" s="1285">
        <f>IF(ISNUMBER('FBPQ C2'!K75),'FBPQ C2'!K75,IF(ISNUMBER('FBPQ C2'!I75),'FBPQ C2'!I75,""))</f>
        <v>156.7573293596797</v>
      </c>
      <c r="F83" s="1286" t="s">
        <v>798</v>
      </c>
      <c r="G83" s="1286">
        <f t="shared" si="2"/>
        <v>156.7573293596797</v>
      </c>
      <c r="H83" s="1287">
        <f>IF(ISBLANK('FBPQ T4'!E75)," ",'FBPQ T4'!AE75)</f>
        <v>0</v>
      </c>
      <c r="I83" s="1288">
        <f t="shared" si="3"/>
        <v>0</v>
      </c>
      <c r="J83" t="s">
        <v>815</v>
      </c>
      <c r="K83" s="32"/>
      <c r="L83" s="33"/>
      <c r="M83" s="32"/>
      <c r="N83" s="41"/>
      <c r="O83" s="40"/>
    </row>
    <row r="84" spans="1:15" ht="12.75">
      <c r="A84" s="26"/>
      <c r="B84" s="21"/>
      <c r="C84" s="22" t="s">
        <v>304</v>
      </c>
      <c r="D84" s="26" t="s">
        <v>844</v>
      </c>
      <c r="E84" s="1285">
        <f>IF(ISNUMBER('FBPQ C2'!K76),'FBPQ C2'!K76,IF(ISNUMBER('FBPQ C2'!I76),'FBPQ C2'!I76,""))</f>
        <v>185.6169512288178</v>
      </c>
      <c r="F84" s="1286" t="s">
        <v>798</v>
      </c>
      <c r="G84" s="1286">
        <f aca="true" t="shared" si="4" ref="G84:G147">IF(ISNUMBER(E84),E84,IF(H84&gt;0,F84," "))</f>
        <v>185.6169512288178</v>
      </c>
      <c r="H84" s="1287">
        <f>IF(ISBLANK('FBPQ T4'!E76)," ",'FBPQ T4'!AE76)</f>
        <v>793</v>
      </c>
      <c r="I84" s="1288">
        <f t="shared" si="3"/>
        <v>147194.24232445253</v>
      </c>
      <c r="J84" t="s">
        <v>815</v>
      </c>
      <c r="K84" s="32"/>
      <c r="L84" s="33"/>
      <c r="M84" s="32"/>
      <c r="N84" s="41"/>
      <c r="O84" s="40"/>
    </row>
    <row r="85" spans="1:15" ht="12.75">
      <c r="A85" s="26"/>
      <c r="B85" s="21"/>
      <c r="C85" s="22" t="s">
        <v>305</v>
      </c>
      <c r="D85" s="26" t="s">
        <v>844</v>
      </c>
      <c r="E85" s="1285">
        <f>IF(ISNUMBER('FBPQ C2'!K77),'FBPQ C2'!K77,IF(ISNUMBER('FBPQ C2'!I77),'FBPQ C2'!I77,""))</f>
        <v>185.6169512288178</v>
      </c>
      <c r="F85" s="1286" t="s">
        <v>798</v>
      </c>
      <c r="G85" s="1286">
        <f t="shared" si="4"/>
        <v>185.6169512288178</v>
      </c>
      <c r="H85" s="1287">
        <f>IF(ISBLANK('FBPQ T4'!E77)," ",'FBPQ T4'!AE77)</f>
        <v>0</v>
      </c>
      <c r="I85" s="1288">
        <f aca="true" t="shared" si="5" ref="I85:I148">IF(ISERROR(G85*H85)," ",G85*H85)</f>
        <v>0</v>
      </c>
      <c r="J85" t="s">
        <v>815</v>
      </c>
      <c r="K85" s="32"/>
      <c r="L85" s="33"/>
      <c r="M85" s="32"/>
      <c r="N85" s="41"/>
      <c r="O85" s="42"/>
    </row>
    <row r="86" spans="1:15" ht="12.75">
      <c r="A86" s="26"/>
      <c r="B86" s="21"/>
      <c r="C86" s="22"/>
      <c r="D86" s="26"/>
      <c r="E86" s="1285">
        <f>IF(ISNUMBER('FBPQ C2'!K78),'FBPQ C2'!K78,IF(ISNUMBER('FBPQ C2'!I78),'FBPQ C2'!I78,""))</f>
      </c>
      <c r="F86" s="1286"/>
      <c r="G86" s="1286">
        <f t="shared" si="4"/>
        <v>0</v>
      </c>
      <c r="H86" s="1287" t="str">
        <f>IF(ISBLANK('FBPQ T4'!E78)," ",'FBPQ T4'!AE78)</f>
        <v> </v>
      </c>
      <c r="I86" s="1288" t="str">
        <f t="shared" si="5"/>
        <v> </v>
      </c>
      <c r="J86"/>
      <c r="K86" s="32"/>
      <c r="L86" s="33"/>
      <c r="M86" s="32"/>
      <c r="N86" s="41"/>
      <c r="O86" s="42"/>
    </row>
    <row r="87" spans="1:15" ht="12.75">
      <c r="A87" s="26"/>
      <c r="B87" s="21" t="s">
        <v>520</v>
      </c>
      <c r="C87" s="22"/>
      <c r="D87" s="26"/>
      <c r="E87" s="1285">
        <f>IF(ISNUMBER('FBPQ C2'!K79),'FBPQ C2'!K79,IF(ISNUMBER('FBPQ C2'!I79),'FBPQ C2'!I79,""))</f>
      </c>
      <c r="F87" s="1286"/>
      <c r="G87" s="1286">
        <f t="shared" si="4"/>
        <v>0</v>
      </c>
      <c r="H87" s="1287" t="str">
        <f>IF(ISBLANK('FBPQ T4'!E79)," ",'FBPQ T4'!AE79)</f>
        <v> </v>
      </c>
      <c r="I87" s="1288" t="str">
        <f t="shared" si="5"/>
        <v> </v>
      </c>
      <c r="J87"/>
      <c r="K87" s="32"/>
      <c r="L87" s="33"/>
      <c r="M87" s="32"/>
      <c r="N87" s="41"/>
      <c r="O87" s="40"/>
    </row>
    <row r="88" spans="1:15" ht="12.75">
      <c r="A88" s="26"/>
      <c r="B88" s="21"/>
      <c r="C88" s="22" t="s">
        <v>306</v>
      </c>
      <c r="D88" s="26" t="s">
        <v>519</v>
      </c>
      <c r="E88" s="1289">
        <f>IF(ISNUMBER('FBPQ C2'!K80),'FBPQ C2'!K80,IF(ISNUMBER('FBPQ C2'!I80),'FBPQ C2'!I80,""))</f>
        <v>0</v>
      </c>
      <c r="F88" s="1286" t="s">
        <v>798</v>
      </c>
      <c r="G88" s="1286">
        <f t="shared" si="4"/>
        <v>0</v>
      </c>
      <c r="H88" s="1287">
        <f>IF(ISBLANK('FBPQ T4'!E80)," ",'FBPQ T4'!AE80)</f>
        <v>7311.4</v>
      </c>
      <c r="I88" s="1288">
        <f t="shared" si="5"/>
        <v>0</v>
      </c>
      <c r="J88" t="s">
        <v>815</v>
      </c>
      <c r="K88" s="32"/>
      <c r="L88" s="32"/>
      <c r="M88" s="32"/>
      <c r="N88" s="41"/>
      <c r="O88" s="40"/>
    </row>
    <row r="89" spans="1:15" ht="12.75">
      <c r="A89" s="26"/>
      <c r="B89" s="21"/>
      <c r="C89" s="22" t="s">
        <v>307</v>
      </c>
      <c r="D89" s="26" t="s">
        <v>519</v>
      </c>
      <c r="E89" s="1289">
        <f>IF(ISNUMBER('FBPQ C2'!K81),'FBPQ C2'!K81,IF(ISNUMBER('FBPQ C2'!I81),'FBPQ C2'!I81,""))</f>
        <v>0</v>
      </c>
      <c r="F89" s="1286" t="s">
        <v>798</v>
      </c>
      <c r="G89" s="1286">
        <f t="shared" si="4"/>
        <v>0</v>
      </c>
      <c r="H89" s="1287">
        <f>IF(ISBLANK('FBPQ T4'!E81)," ",'FBPQ T4'!AE81)</f>
        <v>725</v>
      </c>
      <c r="I89" s="1288">
        <f t="shared" si="5"/>
        <v>0</v>
      </c>
      <c r="J89" t="s">
        <v>815</v>
      </c>
      <c r="K89" s="32"/>
      <c r="L89" s="32"/>
      <c r="M89" s="32"/>
      <c r="N89" s="41"/>
      <c r="O89" s="40"/>
    </row>
    <row r="90" spans="1:15" ht="12.75">
      <c r="A90" s="26"/>
      <c r="B90" s="21"/>
      <c r="C90" s="22" t="s">
        <v>178</v>
      </c>
      <c r="D90" s="26" t="s">
        <v>519</v>
      </c>
      <c r="E90" s="1289">
        <f>IF(ISNUMBER('FBPQ C2'!K82),'FBPQ C2'!K82,IF(ISNUMBER('FBPQ C2'!I82),'FBPQ C2'!I82,""))</f>
        <v>0</v>
      </c>
      <c r="F90" s="1286" t="s">
        <v>798</v>
      </c>
      <c r="G90" s="1286">
        <f t="shared" si="4"/>
        <v>0</v>
      </c>
      <c r="H90" s="1287">
        <f>IF(ISBLANK('FBPQ T4'!E82)," ",'FBPQ T4'!AE82)</f>
        <v>8891</v>
      </c>
      <c r="I90" s="1288">
        <f t="shared" si="5"/>
        <v>0</v>
      </c>
      <c r="J90" t="s">
        <v>815</v>
      </c>
      <c r="K90" s="32"/>
      <c r="L90" s="33"/>
      <c r="M90" s="32"/>
      <c r="N90" s="41"/>
      <c r="O90" s="40"/>
    </row>
    <row r="91" spans="1:15" ht="12.75">
      <c r="A91" s="26"/>
      <c r="B91" s="21"/>
      <c r="C91" s="22" t="s">
        <v>179</v>
      </c>
      <c r="D91" s="26" t="s">
        <v>519</v>
      </c>
      <c r="E91" s="1289">
        <f>IF(ISNUMBER('FBPQ C2'!K83),'FBPQ C2'!K83,IF(ISNUMBER('FBPQ C2'!I83),'FBPQ C2'!I83,""))</f>
        <v>0</v>
      </c>
      <c r="F91" s="1286" t="s">
        <v>798</v>
      </c>
      <c r="G91" s="1286">
        <f t="shared" si="4"/>
        <v>0</v>
      </c>
      <c r="H91" s="1287">
        <f>IF(ISBLANK('FBPQ T4'!E83)," ",'FBPQ T4'!AE83)</f>
        <v>669</v>
      </c>
      <c r="I91" s="1288">
        <f t="shared" si="5"/>
        <v>0</v>
      </c>
      <c r="J91" t="s">
        <v>815</v>
      </c>
      <c r="K91" s="32"/>
      <c r="L91" s="33"/>
      <c r="M91" s="32"/>
      <c r="N91" s="41"/>
      <c r="O91" s="42"/>
    </row>
    <row r="92" spans="1:15" ht="12.75">
      <c r="A92" s="26"/>
      <c r="B92" s="21"/>
      <c r="C92" s="22"/>
      <c r="D92" s="26"/>
      <c r="E92" s="1285">
        <f>IF(ISNUMBER('FBPQ C2'!K84),'FBPQ C2'!K84,IF(ISNUMBER('FBPQ C2'!I84),'FBPQ C2'!I84,""))</f>
      </c>
      <c r="F92" s="1286"/>
      <c r="G92" s="1286">
        <f t="shared" si="4"/>
        <v>0</v>
      </c>
      <c r="H92" s="1287" t="str">
        <f>IF(ISBLANK('FBPQ T4'!E84)," ",'FBPQ T4'!AE84)</f>
        <v> </v>
      </c>
      <c r="I92" s="1288" t="str">
        <f t="shared" si="5"/>
        <v> </v>
      </c>
      <c r="J92"/>
      <c r="K92" s="32"/>
      <c r="L92" s="32"/>
      <c r="M92" s="32"/>
      <c r="N92" s="41"/>
      <c r="O92" s="42"/>
    </row>
    <row r="93" spans="1:15" ht="12.75">
      <c r="A93" s="26"/>
      <c r="B93" s="21" t="s">
        <v>419</v>
      </c>
      <c r="C93" s="22"/>
      <c r="D93" s="26"/>
      <c r="E93" s="1285">
        <f>IF(ISNUMBER('FBPQ C2'!K85),'FBPQ C2'!K85,IF(ISNUMBER('FBPQ C2'!I85),'FBPQ C2'!I85,""))</f>
      </c>
      <c r="F93" s="1286"/>
      <c r="G93" s="1286">
        <f t="shared" si="4"/>
        <v>0</v>
      </c>
      <c r="H93" s="1287" t="str">
        <f>IF(ISBLANK('FBPQ T4'!E85)," ",'FBPQ T4'!AE85)</f>
        <v> </v>
      </c>
      <c r="I93" s="1288" t="str">
        <f t="shared" si="5"/>
        <v> </v>
      </c>
      <c r="J93"/>
      <c r="K93" s="32"/>
      <c r="L93" s="33"/>
      <c r="M93" s="32"/>
      <c r="N93" s="41"/>
      <c r="O93" s="40"/>
    </row>
    <row r="94" spans="1:15" ht="12.75">
      <c r="A94" s="26"/>
      <c r="B94" s="21"/>
      <c r="C94" s="22" t="s">
        <v>162</v>
      </c>
      <c r="D94" s="26" t="s">
        <v>844</v>
      </c>
      <c r="E94" s="1285">
        <f>IF(ISNUMBER('FBPQ C2'!K86),'FBPQ C2'!K86,IF(ISNUMBER('FBPQ C2'!I86),'FBPQ C2'!I86,""))</f>
        <v>257.06676396210247</v>
      </c>
      <c r="F94" s="1286" t="s">
        <v>798</v>
      </c>
      <c r="G94" s="1286">
        <f t="shared" si="4"/>
        <v>257.06676396210247</v>
      </c>
      <c r="H94" s="1287">
        <f>IF(ISBLANK('FBPQ T4'!E86)," ",'FBPQ T4'!AE86)</f>
        <v>221.5</v>
      </c>
      <c r="I94" s="1288">
        <f t="shared" si="5"/>
        <v>56940.288217605696</v>
      </c>
      <c r="J94" t="s">
        <v>815</v>
      </c>
      <c r="K94" s="32"/>
      <c r="L94" s="33"/>
      <c r="M94" s="32"/>
      <c r="N94" s="41"/>
      <c r="O94" s="40"/>
    </row>
    <row r="95" spans="1:15" ht="12.75">
      <c r="A95" s="26"/>
      <c r="B95" s="21"/>
      <c r="C95" s="22" t="s">
        <v>163</v>
      </c>
      <c r="D95" s="26" t="s">
        <v>844</v>
      </c>
      <c r="E95" s="1285">
        <f>IF(ISNUMBER('FBPQ C2'!K87),'FBPQ C2'!K87,IF(ISNUMBER('FBPQ C2'!I87),'FBPQ C2'!I87,""))</f>
        <v>257.06676396210247</v>
      </c>
      <c r="F95" s="1286" t="s">
        <v>798</v>
      </c>
      <c r="G95" s="1286">
        <f t="shared" si="4"/>
        <v>257.06676396210247</v>
      </c>
      <c r="H95" s="1287">
        <f>IF(ISBLANK('FBPQ T4'!E87)," ",'FBPQ T4'!AE87)</f>
        <v>122</v>
      </c>
      <c r="I95" s="1288">
        <f t="shared" si="5"/>
        <v>31362.1452033765</v>
      </c>
      <c r="J95" t="s">
        <v>815</v>
      </c>
      <c r="K95" s="32"/>
      <c r="L95" s="33"/>
      <c r="M95" s="32"/>
      <c r="N95" s="41"/>
      <c r="O95" s="40"/>
    </row>
    <row r="96" spans="1:15" ht="12.75">
      <c r="A96" s="26"/>
      <c r="B96" s="21"/>
      <c r="C96" s="22" t="s">
        <v>164</v>
      </c>
      <c r="D96" s="26" t="s">
        <v>844</v>
      </c>
      <c r="E96" s="1289">
        <f>E95</f>
        <v>257.06676396210247</v>
      </c>
      <c r="F96" s="1286" t="s">
        <v>798</v>
      </c>
      <c r="G96" s="1286">
        <f t="shared" si="4"/>
        <v>257.06676396210247</v>
      </c>
      <c r="H96" s="1287">
        <f>IF(ISBLANK('FBPQ T4'!E88)," ",'FBPQ T4'!AE88)</f>
        <v>9</v>
      </c>
      <c r="I96" s="1288">
        <f t="shared" si="5"/>
        <v>2313.600875658922</v>
      </c>
      <c r="J96" t="s">
        <v>815</v>
      </c>
      <c r="K96" s="32"/>
      <c r="L96" s="33"/>
      <c r="M96" s="32"/>
      <c r="N96" s="41"/>
      <c r="O96" s="40"/>
    </row>
    <row r="97" spans="1:15" ht="12.75">
      <c r="A97" s="26"/>
      <c r="B97" s="21"/>
      <c r="C97" s="22" t="s">
        <v>314</v>
      </c>
      <c r="D97" s="26" t="s">
        <v>844</v>
      </c>
      <c r="E97" s="1285">
        <f>IF(ISNUMBER('FBPQ C2'!K89),'FBPQ C2'!K89,IF(ISNUMBER('FBPQ C2'!I89),'FBPQ C2'!I89,""))</f>
        <v>1206.5101829873158</v>
      </c>
      <c r="F97" s="1286" t="s">
        <v>798</v>
      </c>
      <c r="G97" s="1286">
        <f t="shared" si="4"/>
        <v>1206.5101829873158</v>
      </c>
      <c r="H97" s="1287">
        <f>IF(ISBLANK('FBPQ T4'!E89)," ",'FBPQ T4'!AE89)</f>
        <v>8</v>
      </c>
      <c r="I97" s="1288">
        <f t="shared" si="5"/>
        <v>9652.081463898527</v>
      </c>
      <c r="J97" t="s">
        <v>815</v>
      </c>
      <c r="K97" s="32"/>
      <c r="L97" s="33"/>
      <c r="M97" s="32"/>
      <c r="N97" s="41"/>
      <c r="O97" s="40"/>
    </row>
    <row r="98" spans="1:15" ht="12.75">
      <c r="A98" s="26"/>
      <c r="B98" s="21"/>
      <c r="C98" s="22" t="s">
        <v>185</v>
      </c>
      <c r="D98" s="26" t="s">
        <v>844</v>
      </c>
      <c r="E98" s="1285">
        <f>IF(ISNUMBER('FBPQ C2'!K90),'FBPQ C2'!K90,IF(ISNUMBER('FBPQ C2'!I90),'FBPQ C2'!I90,""))</f>
        <v>1206.5101829873158</v>
      </c>
      <c r="F98" s="1286" t="s">
        <v>798</v>
      </c>
      <c r="G98" s="1286">
        <f t="shared" si="4"/>
        <v>1206.5101829873158</v>
      </c>
      <c r="H98" s="1287">
        <f>IF(ISBLANK('FBPQ T4'!E90)," ",'FBPQ T4'!AE90)</f>
        <v>8</v>
      </c>
      <c r="I98" s="1288">
        <f t="shared" si="5"/>
        <v>9652.081463898527</v>
      </c>
      <c r="J98" t="s">
        <v>815</v>
      </c>
      <c r="K98" s="32"/>
      <c r="L98" s="33"/>
      <c r="M98" s="32"/>
      <c r="N98" s="41"/>
      <c r="O98" s="40"/>
    </row>
    <row r="99" spans="1:15" ht="12.75">
      <c r="A99" s="26"/>
      <c r="B99" s="21"/>
      <c r="C99" s="22" t="s">
        <v>186</v>
      </c>
      <c r="D99" s="26" t="s">
        <v>844</v>
      </c>
      <c r="E99" s="1285">
        <f>IF(ISNUMBER('FBPQ C2'!K91),'FBPQ C2'!K91,IF(ISNUMBER('FBPQ C2'!I91),'FBPQ C2'!I91,""))</f>
        <v>0</v>
      </c>
      <c r="F99" s="1286" t="s">
        <v>798</v>
      </c>
      <c r="G99" s="1286">
        <f t="shared" si="4"/>
        <v>0</v>
      </c>
      <c r="H99" s="1287">
        <f>IF(ISBLANK('FBPQ T4'!E91)," ",'FBPQ T4'!AE91)</f>
        <v>0</v>
      </c>
      <c r="I99" s="1288">
        <f t="shared" si="5"/>
        <v>0</v>
      </c>
      <c r="J99" t="s">
        <v>815</v>
      </c>
      <c r="K99" s="32"/>
      <c r="L99" s="33"/>
      <c r="M99" s="32"/>
      <c r="N99" s="41"/>
      <c r="O99" s="42"/>
    </row>
    <row r="100" spans="1:15" ht="12.75">
      <c r="A100" s="26"/>
      <c r="B100" s="21"/>
      <c r="C100" s="22"/>
      <c r="D100" s="26"/>
      <c r="E100" s="1285">
        <f>IF(ISNUMBER('FBPQ C2'!K92),'FBPQ C2'!K92,IF(ISNUMBER('FBPQ C2'!I92),'FBPQ C2'!I92,""))</f>
      </c>
      <c r="F100" s="1286"/>
      <c r="G100" s="1286">
        <f t="shared" si="4"/>
        <v>0</v>
      </c>
      <c r="H100" s="1287" t="str">
        <f>IF(ISBLANK('FBPQ T4'!E92)," ",'FBPQ T4'!AE92)</f>
        <v> </v>
      </c>
      <c r="I100" s="1288" t="str">
        <f t="shared" si="5"/>
        <v> </v>
      </c>
      <c r="J100"/>
      <c r="K100" s="32"/>
      <c r="L100" s="32"/>
      <c r="M100" s="32"/>
      <c r="N100" s="41"/>
      <c r="O100" s="42"/>
    </row>
    <row r="101" spans="1:15" ht="12.75">
      <c r="A101" s="26"/>
      <c r="B101" s="21" t="s">
        <v>583</v>
      </c>
      <c r="C101" s="22"/>
      <c r="D101" s="26"/>
      <c r="E101" s="1285">
        <f>IF(ISNUMBER('FBPQ C2'!K93),'FBPQ C2'!K93,IF(ISNUMBER('FBPQ C2'!I93),'FBPQ C2'!I93,""))</f>
      </c>
      <c r="F101" s="1286"/>
      <c r="G101" s="1286">
        <f t="shared" si="4"/>
        <v>0</v>
      </c>
      <c r="H101" s="1287" t="str">
        <f>IF(ISBLANK('FBPQ T4'!E93)," ",'FBPQ T4'!AE93)</f>
        <v> </v>
      </c>
      <c r="I101" s="1288" t="str">
        <f t="shared" si="5"/>
        <v> </v>
      </c>
      <c r="J101"/>
      <c r="K101" s="32"/>
      <c r="L101" s="33"/>
      <c r="M101" s="32"/>
      <c r="N101" s="41"/>
      <c r="O101" s="40"/>
    </row>
    <row r="102" spans="1:15" ht="12.75">
      <c r="A102" s="26"/>
      <c r="B102" s="21"/>
      <c r="C102" s="22" t="s">
        <v>112</v>
      </c>
      <c r="D102" s="26" t="s">
        <v>844</v>
      </c>
      <c r="E102" s="1285">
        <f>IF(ISNUMBER('FBPQ C2'!K94),'FBPQ C2'!K94,IF(ISNUMBER('FBPQ C2'!I94),'FBPQ C2'!I94,""))</f>
        <v>0</v>
      </c>
      <c r="F102" s="1286" t="s">
        <v>798</v>
      </c>
      <c r="G102" s="1286">
        <f t="shared" si="4"/>
        <v>0</v>
      </c>
      <c r="H102" s="1287">
        <f>IF(ISBLANK('FBPQ T4'!E94)," ",'FBPQ T4'!AE94)</f>
        <v>0</v>
      </c>
      <c r="I102" s="1288">
        <f t="shared" si="5"/>
        <v>0</v>
      </c>
      <c r="J102" t="s">
        <v>815</v>
      </c>
      <c r="K102" s="32"/>
      <c r="L102" s="32"/>
      <c r="M102" s="32"/>
      <c r="N102" s="41"/>
      <c r="O102" s="42"/>
    </row>
    <row r="103" spans="1:15" ht="12.75">
      <c r="A103" s="26"/>
      <c r="B103" s="21"/>
      <c r="C103" s="22"/>
      <c r="D103" s="26"/>
      <c r="E103" s="1285">
        <f>IF(ISNUMBER('FBPQ C2'!K95),'FBPQ C2'!K95,IF(ISNUMBER('FBPQ C2'!I95),'FBPQ C2'!I95,""))</f>
      </c>
      <c r="F103" s="1286"/>
      <c r="G103" s="1286">
        <f t="shared" si="4"/>
        <v>0</v>
      </c>
      <c r="H103" s="1287" t="str">
        <f>IF(ISBLANK('FBPQ T4'!E95)," ",'FBPQ T4'!AE95)</f>
        <v> </v>
      </c>
      <c r="I103" s="1288" t="str">
        <f t="shared" si="5"/>
        <v> </v>
      </c>
      <c r="J103"/>
      <c r="K103" s="32"/>
      <c r="L103" s="33"/>
      <c r="M103" s="32"/>
      <c r="N103" s="41"/>
      <c r="O103" s="42"/>
    </row>
    <row r="104" spans="1:15" ht="12.75">
      <c r="A104" s="26"/>
      <c r="B104" s="21" t="s">
        <v>391</v>
      </c>
      <c r="C104" s="22"/>
      <c r="D104" s="26"/>
      <c r="E104" s="1285">
        <f>IF(ISNUMBER('FBPQ C2'!K96),'FBPQ C2'!K96,IF(ISNUMBER('FBPQ C2'!I96),'FBPQ C2'!I96,""))</f>
      </c>
      <c r="F104" s="1286"/>
      <c r="G104" s="1286">
        <f t="shared" si="4"/>
        <v>0</v>
      </c>
      <c r="H104" s="1287" t="str">
        <f>IF(ISBLANK('FBPQ T4'!E96)," ",'FBPQ T4'!AE96)</f>
        <v> </v>
      </c>
      <c r="I104" s="1288" t="str">
        <f t="shared" si="5"/>
        <v> </v>
      </c>
      <c r="J104"/>
      <c r="K104" s="32"/>
      <c r="L104" s="33"/>
      <c r="M104" s="32"/>
      <c r="N104" s="41"/>
      <c r="O104" s="40"/>
    </row>
    <row r="105" spans="1:15" ht="12.75">
      <c r="A105" s="26"/>
      <c r="B105" s="21"/>
      <c r="C105" s="22" t="s">
        <v>113</v>
      </c>
      <c r="D105" s="26" t="s">
        <v>519</v>
      </c>
      <c r="E105" s="1285">
        <f>IF(ISNUMBER('FBPQ C2'!K97),'FBPQ C2'!K97,IF(ISNUMBER('FBPQ C2'!I97),'FBPQ C2'!I97,""))</f>
        <v>184.98127673830817</v>
      </c>
      <c r="F105" s="1286" t="s">
        <v>798</v>
      </c>
      <c r="G105" s="1286">
        <f t="shared" si="4"/>
        <v>184.98127673830817</v>
      </c>
      <c r="H105" s="1287">
        <f>IF(ISBLANK('FBPQ T4'!E97)," ",'FBPQ T4'!AE97)</f>
        <v>88</v>
      </c>
      <c r="I105" s="1288">
        <f t="shared" si="5"/>
        <v>16278.352352971118</v>
      </c>
      <c r="J105" t="s">
        <v>811</v>
      </c>
      <c r="K105" s="32"/>
      <c r="L105" s="33"/>
      <c r="M105" s="46"/>
      <c r="N105" s="41"/>
      <c r="O105" s="40"/>
    </row>
    <row r="106" spans="1:15" ht="12.75">
      <c r="A106" s="26"/>
      <c r="B106" s="21"/>
      <c r="C106" s="22" t="s">
        <v>114</v>
      </c>
      <c r="D106" s="26" t="s">
        <v>519</v>
      </c>
      <c r="E106" s="1285">
        <f>IF(ISNUMBER('FBPQ C2'!K98),'FBPQ C2'!K98,IF(ISNUMBER('FBPQ C2'!I98),'FBPQ C2'!I98,""))</f>
        <v>184.98127673830817</v>
      </c>
      <c r="F106" s="1286" t="s">
        <v>798</v>
      </c>
      <c r="G106" s="1286">
        <f t="shared" si="4"/>
        <v>184.98127673830817</v>
      </c>
      <c r="H106" s="1287">
        <f>IF(ISBLANK('FBPQ T4'!E98)," ",'FBPQ T4'!AE98)</f>
        <v>305</v>
      </c>
      <c r="I106" s="1288">
        <f t="shared" si="5"/>
        <v>56419.28940518399</v>
      </c>
      <c r="J106" t="s">
        <v>811</v>
      </c>
      <c r="K106" s="32"/>
      <c r="L106" s="33"/>
      <c r="M106" s="46"/>
      <c r="N106" s="41"/>
      <c r="O106" s="40"/>
    </row>
    <row r="107" spans="1:15" ht="12.75">
      <c r="A107" s="26"/>
      <c r="B107" s="21"/>
      <c r="C107" s="22" t="s">
        <v>115</v>
      </c>
      <c r="D107" s="26" t="s">
        <v>519</v>
      </c>
      <c r="E107" s="1285">
        <f>IF(ISNUMBER('FBPQ C2'!K99),'FBPQ C2'!K99,IF(ISNUMBER('FBPQ C2'!I99),'FBPQ C2'!I99,""))</f>
        <v>0</v>
      </c>
      <c r="F107" s="1286" t="s">
        <v>798</v>
      </c>
      <c r="G107" s="1286">
        <f t="shared" si="4"/>
        <v>0</v>
      </c>
      <c r="H107" s="1287">
        <f>IF(ISBLANK('FBPQ T4'!E99)," ",'FBPQ T4'!AE99)</f>
        <v>0</v>
      </c>
      <c r="I107" s="1288">
        <f t="shared" si="5"/>
        <v>0</v>
      </c>
      <c r="J107" t="s">
        <v>811</v>
      </c>
      <c r="K107" s="32"/>
      <c r="L107" s="33"/>
      <c r="M107" s="46"/>
      <c r="N107" s="41"/>
      <c r="O107" s="40"/>
    </row>
    <row r="108" spans="1:15" ht="12.75">
      <c r="A108" s="26"/>
      <c r="B108" s="21"/>
      <c r="C108" s="22" t="s">
        <v>116</v>
      </c>
      <c r="D108" s="26" t="s">
        <v>519</v>
      </c>
      <c r="E108" s="1285">
        <f>IF(ISNUMBER('FBPQ C2'!K100),'FBPQ C2'!K100,IF(ISNUMBER('FBPQ C2'!I100),'FBPQ C2'!I100,""))</f>
        <v>0</v>
      </c>
      <c r="F108" s="1286" t="s">
        <v>798</v>
      </c>
      <c r="G108" s="1286">
        <f t="shared" si="4"/>
        <v>0</v>
      </c>
      <c r="H108" s="1287">
        <f>IF(ISBLANK('FBPQ T4'!E100)," ",'FBPQ T4'!AE100)</f>
        <v>0</v>
      </c>
      <c r="I108" s="1288">
        <f t="shared" si="5"/>
        <v>0</v>
      </c>
      <c r="J108" t="s">
        <v>811</v>
      </c>
      <c r="K108" s="32"/>
      <c r="L108" s="33"/>
      <c r="M108" s="46"/>
      <c r="N108" s="41"/>
      <c r="O108" s="40"/>
    </row>
    <row r="109" spans="1:15" ht="12.75">
      <c r="A109" s="26"/>
      <c r="B109" s="21"/>
      <c r="C109" s="22" t="s">
        <v>117</v>
      </c>
      <c r="D109" s="26" t="s">
        <v>519</v>
      </c>
      <c r="E109" s="1285">
        <f>IF(ISNUMBER('FBPQ C2'!K101),'FBPQ C2'!K101,IF(ISNUMBER('FBPQ C2'!I101),'FBPQ C2'!I101,""))</f>
        <v>588.5074433138341</v>
      </c>
      <c r="F109" s="1286" t="s">
        <v>798</v>
      </c>
      <c r="G109" s="1286">
        <f t="shared" si="4"/>
        <v>588.5074433138341</v>
      </c>
      <c r="H109" s="1287">
        <f>IF(ISBLANK('FBPQ T4'!E101)," ",'FBPQ T4'!AE101)</f>
        <v>0</v>
      </c>
      <c r="I109" s="1288">
        <f t="shared" si="5"/>
        <v>0</v>
      </c>
      <c r="J109" t="s">
        <v>811</v>
      </c>
      <c r="K109" s="32"/>
      <c r="L109" s="33"/>
      <c r="M109" s="46"/>
      <c r="N109" s="41"/>
      <c r="O109" s="43"/>
    </row>
    <row r="110" spans="1:15" ht="12.75">
      <c r="A110" s="26"/>
      <c r="B110" s="21"/>
      <c r="C110" s="22" t="s">
        <v>118</v>
      </c>
      <c r="D110" s="26" t="s">
        <v>519</v>
      </c>
      <c r="E110" s="1289">
        <f>E106</f>
        <v>184.98127673830817</v>
      </c>
      <c r="F110" s="1286" t="s">
        <v>798</v>
      </c>
      <c r="G110" s="1286">
        <f t="shared" si="4"/>
        <v>184.98127673830817</v>
      </c>
      <c r="H110" s="1287">
        <f>IF(ISBLANK('FBPQ T4'!E102)," ",'FBPQ T4'!AE102)</f>
        <v>1444</v>
      </c>
      <c r="I110" s="1288">
        <f t="shared" si="5"/>
        <v>267112.963610117</v>
      </c>
      <c r="J110" t="s">
        <v>810</v>
      </c>
      <c r="K110" s="32"/>
      <c r="L110" s="33"/>
      <c r="M110" s="46"/>
      <c r="N110" s="41"/>
      <c r="O110" s="40"/>
    </row>
    <row r="111" spans="1:15" ht="12.75">
      <c r="A111" s="26"/>
      <c r="B111" s="21"/>
      <c r="C111" s="22" t="s">
        <v>119</v>
      </c>
      <c r="D111" s="26" t="s">
        <v>519</v>
      </c>
      <c r="E111" s="1285">
        <f>IF(ISNUMBER('FBPQ C2'!K103),'FBPQ C2'!K103,IF(ISNUMBER('FBPQ C2'!I103),'FBPQ C2'!I103,""))</f>
        <v>697.8434556814939</v>
      </c>
      <c r="F111" s="1286" t="s">
        <v>798</v>
      </c>
      <c r="G111" s="1286">
        <f t="shared" si="4"/>
        <v>697.8434556814939</v>
      </c>
      <c r="H111" s="1287">
        <f>IF(ISBLANK('FBPQ T4'!E103)," ",'FBPQ T4'!AE103)</f>
        <v>77</v>
      </c>
      <c r="I111" s="1288">
        <f t="shared" si="5"/>
        <v>53733.94608747503</v>
      </c>
      <c r="J111" t="s">
        <v>811</v>
      </c>
      <c r="K111" s="32"/>
      <c r="L111" s="33"/>
      <c r="M111" s="46"/>
      <c r="N111" s="41"/>
      <c r="O111" s="43"/>
    </row>
    <row r="112" spans="1:15" ht="12.75">
      <c r="A112" s="26"/>
      <c r="B112" s="21"/>
      <c r="C112" s="22" t="s">
        <v>120</v>
      </c>
      <c r="D112" s="26" t="s">
        <v>519</v>
      </c>
      <c r="E112" s="1289">
        <f>E111</f>
        <v>697.8434556814939</v>
      </c>
      <c r="F112" s="1286" t="s">
        <v>798</v>
      </c>
      <c r="G112" s="1286">
        <f t="shared" si="4"/>
        <v>697.8434556814939</v>
      </c>
      <c r="H112" s="1287">
        <f>IF(ISBLANK('FBPQ T4'!E104)," ",'FBPQ T4'!AE104)</f>
        <v>575</v>
      </c>
      <c r="I112" s="1288">
        <f t="shared" si="5"/>
        <v>401259.987016859</v>
      </c>
      <c r="J112" t="s">
        <v>810</v>
      </c>
      <c r="K112" s="32"/>
      <c r="L112" s="33"/>
      <c r="M112" s="46"/>
      <c r="N112" s="41"/>
      <c r="O112" s="42"/>
    </row>
    <row r="113" spans="1:15" ht="12.75">
      <c r="A113" s="26"/>
      <c r="B113" s="21"/>
      <c r="C113" s="22"/>
      <c r="D113" s="26"/>
      <c r="E113" s="1285">
        <f>IF(ISNUMBER('FBPQ C2'!K105),'FBPQ C2'!K105,IF(ISNUMBER('FBPQ C2'!I105),'FBPQ C2'!I105,""))</f>
      </c>
      <c r="F113" s="1286"/>
      <c r="G113" s="1286">
        <f t="shared" si="4"/>
        <v>0</v>
      </c>
      <c r="H113" s="1287" t="str">
        <f>IF(ISBLANK('FBPQ T4'!E105)," ",'FBPQ T4'!AE105)</f>
        <v> </v>
      </c>
      <c r="I113" s="1288" t="str">
        <f t="shared" si="5"/>
        <v> </v>
      </c>
      <c r="J113"/>
      <c r="K113" s="32"/>
      <c r="L113" s="33"/>
      <c r="M113" s="32"/>
      <c r="N113" s="41"/>
      <c r="O113" s="42"/>
    </row>
    <row r="114" spans="1:15" ht="12.75">
      <c r="A114" s="26"/>
      <c r="B114" s="21" t="s">
        <v>146</v>
      </c>
      <c r="C114" s="22"/>
      <c r="D114" s="26"/>
      <c r="E114" s="1285">
        <f>IF(ISNUMBER('FBPQ C2'!K106),'FBPQ C2'!K106,IF(ISNUMBER('FBPQ C2'!I106),'FBPQ C2'!I106,""))</f>
      </c>
      <c r="F114" s="1286"/>
      <c r="G114" s="1286">
        <f t="shared" si="4"/>
        <v>0</v>
      </c>
      <c r="H114" s="1287" t="str">
        <f>IF(ISBLANK('FBPQ T4'!E106)," ",'FBPQ T4'!AE106)</f>
        <v> </v>
      </c>
      <c r="I114" s="1288" t="str">
        <f t="shared" si="5"/>
        <v> </v>
      </c>
      <c r="J114"/>
      <c r="K114" s="32"/>
      <c r="L114" s="33"/>
      <c r="M114" s="32"/>
      <c r="N114" s="41"/>
      <c r="O114" s="40"/>
    </row>
    <row r="115" spans="1:15" ht="12.75">
      <c r="A115" s="26"/>
      <c r="B115" s="21"/>
      <c r="C115" s="22" t="s">
        <v>121</v>
      </c>
      <c r="D115" s="26" t="s">
        <v>519</v>
      </c>
      <c r="E115" s="1285">
        <f>IF(ISNUMBER('FBPQ C2'!K107),'FBPQ C2'!K107,IF(ISNUMBER('FBPQ C2'!I107),'FBPQ C2'!I107,""))</f>
        <v>532.5680881489848</v>
      </c>
      <c r="F115" s="1286" t="s">
        <v>798</v>
      </c>
      <c r="G115" s="1286">
        <f t="shared" si="4"/>
        <v>532.5680881489848</v>
      </c>
      <c r="H115" s="1287">
        <f>IF(ISBLANK('FBPQ T4'!E107)," ",'FBPQ T4'!AE107)</f>
        <v>3</v>
      </c>
      <c r="I115" s="1288">
        <f t="shared" si="5"/>
        <v>1597.7042644469543</v>
      </c>
      <c r="J115" t="s">
        <v>810</v>
      </c>
      <c r="K115" s="32"/>
      <c r="L115" s="32"/>
      <c r="M115" s="46"/>
      <c r="N115" s="41"/>
      <c r="O115" s="40"/>
    </row>
    <row r="116" spans="1:15" ht="12.75">
      <c r="A116" s="26"/>
      <c r="B116" s="21"/>
      <c r="C116" s="22" t="s">
        <v>122</v>
      </c>
      <c r="D116" s="26" t="s">
        <v>519</v>
      </c>
      <c r="E116" s="1285">
        <f>IF(ISNUMBER('FBPQ C2'!K108),'FBPQ C2'!K108,IF(ISNUMBER('FBPQ C2'!I108),'FBPQ C2'!I108,""))</f>
        <v>571.9799065605831</v>
      </c>
      <c r="F116" s="1286" t="s">
        <v>798</v>
      </c>
      <c r="G116" s="1286">
        <f t="shared" si="4"/>
        <v>571.9799065605831</v>
      </c>
      <c r="H116" s="1287">
        <f>IF(ISBLANK('FBPQ T4'!E108)," ",'FBPQ T4'!AE108)</f>
        <v>203</v>
      </c>
      <c r="I116" s="1288">
        <f t="shared" si="5"/>
        <v>116111.92103179837</v>
      </c>
      <c r="J116" t="s">
        <v>810</v>
      </c>
      <c r="K116" s="32"/>
      <c r="L116" s="32"/>
      <c r="M116" s="46"/>
      <c r="N116" s="41"/>
      <c r="O116" s="43"/>
    </row>
    <row r="117" spans="1:15" ht="12.75">
      <c r="A117" s="26"/>
      <c r="B117" s="21"/>
      <c r="C117" s="22" t="s">
        <v>79</v>
      </c>
      <c r="D117" s="26" t="s">
        <v>519</v>
      </c>
      <c r="E117" s="1289">
        <f>E76</f>
        <v>11.95068042158142</v>
      </c>
      <c r="F117" s="1286" t="s">
        <v>798</v>
      </c>
      <c r="G117" s="1286">
        <f t="shared" si="4"/>
        <v>11.95068042158142</v>
      </c>
      <c r="H117" s="1287">
        <f>IF(ISBLANK('FBPQ T4'!E109)," ",'FBPQ T4'!AE109)</f>
        <v>193</v>
      </c>
      <c r="I117" s="1288">
        <f t="shared" si="5"/>
        <v>2306.481321365214</v>
      </c>
      <c r="J117" t="s">
        <v>810</v>
      </c>
      <c r="K117" s="32"/>
      <c r="L117" s="32"/>
      <c r="M117" s="32"/>
      <c r="N117" s="41"/>
      <c r="O117" s="40"/>
    </row>
    <row r="118" spans="1:15" ht="12.75">
      <c r="A118" s="26"/>
      <c r="B118" s="21"/>
      <c r="C118" s="22" t="s">
        <v>203</v>
      </c>
      <c r="D118" s="26" t="s">
        <v>519</v>
      </c>
      <c r="E118" s="1285">
        <f>IF(ISNUMBER('FBPQ C2'!K110),'FBPQ C2'!K110,IF(ISNUMBER('FBPQ C2'!I110),'FBPQ C2'!I110,""))</f>
        <v>2234.904373733828</v>
      </c>
      <c r="F118" s="1286" t="s">
        <v>798</v>
      </c>
      <c r="G118" s="1286">
        <f t="shared" si="4"/>
        <v>2234.904373733828</v>
      </c>
      <c r="H118" s="1287">
        <f>IF(ISBLANK('FBPQ T4'!E110)," ",'FBPQ T4'!AE110)</f>
        <v>82</v>
      </c>
      <c r="I118" s="1288">
        <f t="shared" si="5"/>
        <v>183262.1586461739</v>
      </c>
      <c r="J118" t="s">
        <v>810</v>
      </c>
      <c r="K118" s="32"/>
      <c r="L118" s="32"/>
      <c r="M118" s="46"/>
      <c r="N118" s="41"/>
      <c r="O118" s="43"/>
    </row>
    <row r="119" spans="1:15" ht="12.75">
      <c r="A119" s="26"/>
      <c r="B119" s="21"/>
      <c r="C119" s="22" t="s">
        <v>338</v>
      </c>
      <c r="D119" s="26" t="s">
        <v>519</v>
      </c>
      <c r="E119" s="1289">
        <f>E76</f>
        <v>11.95068042158142</v>
      </c>
      <c r="F119" s="1286" t="s">
        <v>798</v>
      </c>
      <c r="G119" s="1286">
        <f t="shared" si="4"/>
        <v>11.95068042158142</v>
      </c>
      <c r="H119" s="1287">
        <f>IF(ISBLANK('FBPQ T4'!E111)," ",'FBPQ T4'!AE111)</f>
        <v>46</v>
      </c>
      <c r="I119" s="1288">
        <f t="shared" si="5"/>
        <v>549.7312993927453</v>
      </c>
      <c r="J119" t="s">
        <v>810</v>
      </c>
      <c r="K119" s="32"/>
      <c r="L119" s="33"/>
      <c r="M119" s="32"/>
      <c r="N119" s="41"/>
      <c r="O119" s="42"/>
    </row>
    <row r="120" spans="1:15" ht="12.75">
      <c r="A120" s="26"/>
      <c r="B120" s="21"/>
      <c r="C120" s="22"/>
      <c r="D120" s="26"/>
      <c r="E120" s="1285">
        <f>IF(ISNUMBER('FBPQ C2'!K112),'FBPQ C2'!K112,IF(ISNUMBER('FBPQ C2'!I112),'FBPQ C2'!I112,""))</f>
      </c>
      <c r="F120" s="1286"/>
      <c r="G120" s="1286">
        <f t="shared" si="4"/>
        <v>0</v>
      </c>
      <c r="H120" s="1287" t="str">
        <f>IF(ISBLANK('FBPQ T4'!E112)," ",'FBPQ T4'!AE112)</f>
        <v> </v>
      </c>
      <c r="I120" s="1288" t="str">
        <f t="shared" si="5"/>
        <v> </v>
      </c>
      <c r="J120"/>
      <c r="K120" s="44"/>
      <c r="L120" s="44"/>
      <c r="M120" s="44"/>
      <c r="N120" s="45"/>
      <c r="O120" s="42"/>
    </row>
    <row r="121" spans="1:15" ht="12.75">
      <c r="A121" s="26" t="s">
        <v>339</v>
      </c>
      <c r="B121" s="21"/>
      <c r="C121" s="22"/>
      <c r="D121" s="26"/>
      <c r="E121" s="1285">
        <f>IF(ISNUMBER('FBPQ C2'!K113),'FBPQ C2'!K113,IF(ISNUMBER('FBPQ C2'!I113),'FBPQ C2'!I113,""))</f>
      </c>
      <c r="F121" s="1286"/>
      <c r="G121" s="1286">
        <f t="shared" si="4"/>
        <v>0</v>
      </c>
      <c r="H121" s="1287" t="str">
        <f>IF(ISBLANK('FBPQ T4'!E113)," ",'FBPQ T4'!AE113)</f>
        <v> </v>
      </c>
      <c r="I121" s="1288" t="str">
        <f t="shared" si="5"/>
        <v> </v>
      </c>
      <c r="J121"/>
      <c r="K121" s="31"/>
      <c r="L121" s="31"/>
      <c r="M121" s="46"/>
      <c r="N121" s="41"/>
      <c r="O121" s="42"/>
    </row>
    <row r="122" spans="1:15" ht="12.75">
      <c r="A122" s="26"/>
      <c r="B122" s="21" t="s">
        <v>883</v>
      </c>
      <c r="C122" s="22"/>
      <c r="D122" s="26"/>
      <c r="E122" s="1285">
        <f>IF(ISNUMBER('FBPQ C2'!K114),'FBPQ C2'!K114,IF(ISNUMBER('FBPQ C2'!I114),'FBPQ C2'!I114,""))</f>
      </c>
      <c r="F122" s="1286"/>
      <c r="G122" s="1286">
        <f t="shared" si="4"/>
        <v>0</v>
      </c>
      <c r="H122" s="1287" t="str">
        <f>IF(ISBLANK('FBPQ T4'!E114)," ",'FBPQ T4'!AE114)</f>
        <v> </v>
      </c>
      <c r="I122" s="1288" t="str">
        <f t="shared" si="5"/>
        <v> </v>
      </c>
      <c r="J122"/>
      <c r="K122" s="32"/>
      <c r="L122" s="33"/>
      <c r="M122" s="32"/>
      <c r="N122" s="41"/>
      <c r="O122" s="40"/>
    </row>
    <row r="123" spans="1:15" ht="12.75">
      <c r="A123" s="26"/>
      <c r="B123" s="21"/>
      <c r="C123" s="22" t="s">
        <v>340</v>
      </c>
      <c r="D123" s="26" t="s">
        <v>844</v>
      </c>
      <c r="E123" s="1285">
        <f>IF(ISNUMBER('FBPQ C2'!K115),'FBPQ C2'!K115,IF(ISNUMBER('FBPQ C2'!I115),'FBPQ C2'!I115,""))</f>
        <v>714.8795320271524</v>
      </c>
      <c r="F123" s="1286" t="s">
        <v>798</v>
      </c>
      <c r="G123" s="1286">
        <f t="shared" si="4"/>
        <v>714.8795320271524</v>
      </c>
      <c r="H123" s="1287">
        <f>IF(ISBLANK('FBPQ T4'!E115)," ",'FBPQ T4'!AE115)</f>
        <v>0</v>
      </c>
      <c r="I123" s="1288">
        <f t="shared" si="5"/>
        <v>0</v>
      </c>
      <c r="J123" t="s">
        <v>813</v>
      </c>
      <c r="K123" s="32"/>
      <c r="L123" s="33"/>
      <c r="M123" s="32"/>
      <c r="N123" s="41"/>
      <c r="O123" s="40"/>
    </row>
    <row r="124" spans="1:15" ht="12.75">
      <c r="A124" s="26"/>
      <c r="B124" s="21"/>
      <c r="C124" s="22" t="s">
        <v>341</v>
      </c>
      <c r="D124" s="26" t="s">
        <v>844</v>
      </c>
      <c r="E124" s="1285">
        <f>IF(ISNUMBER('FBPQ C2'!K116),'FBPQ C2'!K116,IF(ISNUMBER('FBPQ C2'!I116),'FBPQ C2'!I116,""))</f>
        <v>1228.5045203589498</v>
      </c>
      <c r="F124" s="1286" t="s">
        <v>798</v>
      </c>
      <c r="G124" s="1286">
        <f t="shared" si="4"/>
        <v>1228.5045203589498</v>
      </c>
      <c r="H124" s="1287">
        <f>IF(ISBLANK('FBPQ T4'!E116)," ",'FBPQ T4'!AE116)</f>
        <v>1368</v>
      </c>
      <c r="I124" s="1288">
        <f t="shared" si="5"/>
        <v>1680594.1838510432</v>
      </c>
      <c r="J124" t="s">
        <v>813</v>
      </c>
      <c r="K124" s="32"/>
      <c r="L124" s="33"/>
      <c r="M124" s="32"/>
      <c r="N124" s="41"/>
      <c r="O124" s="42"/>
    </row>
    <row r="125" spans="1:15" ht="12.75">
      <c r="A125" s="26"/>
      <c r="B125" s="21"/>
      <c r="C125" s="22"/>
      <c r="D125" s="26"/>
      <c r="E125" s="1285">
        <f>IF(ISNUMBER('FBPQ C2'!K117),'FBPQ C2'!K117,IF(ISNUMBER('FBPQ C2'!I117),'FBPQ C2'!I117,""))</f>
      </c>
      <c r="F125" s="1286"/>
      <c r="G125" s="1286">
        <f t="shared" si="4"/>
        <v>0</v>
      </c>
      <c r="H125" s="1287" t="str">
        <f>IF(ISBLANK('FBPQ T4'!E117)," ",'FBPQ T4'!AE117)</f>
        <v> </v>
      </c>
      <c r="I125" s="1288" t="str">
        <f t="shared" si="5"/>
        <v> </v>
      </c>
      <c r="J125"/>
      <c r="K125" s="32"/>
      <c r="L125" s="33"/>
      <c r="M125" s="46"/>
      <c r="N125" s="41"/>
      <c r="O125" s="42"/>
    </row>
    <row r="126" spans="1:15" ht="12.75">
      <c r="A126" s="26"/>
      <c r="B126" s="21" t="s">
        <v>520</v>
      </c>
      <c r="C126" s="22"/>
      <c r="D126" s="26"/>
      <c r="E126" s="1285">
        <f>IF(ISNUMBER('FBPQ C2'!K118),'FBPQ C2'!K118,IF(ISNUMBER('FBPQ C2'!I118),'FBPQ C2'!I118,""))</f>
      </c>
      <c r="F126" s="1286"/>
      <c r="G126" s="1286">
        <f t="shared" si="4"/>
        <v>0</v>
      </c>
      <c r="H126" s="1287" t="str">
        <f>IF(ISBLANK('FBPQ T4'!E118)," ",'FBPQ T4'!AE118)</f>
        <v> </v>
      </c>
      <c r="I126" s="1288" t="str">
        <f t="shared" si="5"/>
        <v> </v>
      </c>
      <c r="J126"/>
      <c r="K126" s="32"/>
      <c r="L126" s="33"/>
      <c r="M126" s="32"/>
      <c r="N126" s="41"/>
      <c r="O126" s="40"/>
    </row>
    <row r="127" spans="1:15" ht="12.75">
      <c r="A127" s="26"/>
      <c r="B127" s="21"/>
      <c r="C127" s="22" t="s">
        <v>342</v>
      </c>
      <c r="D127" s="26" t="s">
        <v>519</v>
      </c>
      <c r="E127" s="1289">
        <f>IF(ISNUMBER('FBPQ C2'!K119),'FBPQ C2'!K119,IF(ISNUMBER('FBPQ C2'!I119),'FBPQ C2'!I119,""))</f>
        <v>0</v>
      </c>
      <c r="F127" s="1286" t="s">
        <v>798</v>
      </c>
      <c r="G127" s="1286">
        <f t="shared" si="4"/>
        <v>0</v>
      </c>
      <c r="H127" s="1287">
        <f>IF(ISBLANK('FBPQ T4'!E119)," ",'FBPQ T4'!AE119)</f>
        <v>843</v>
      </c>
      <c r="I127" s="1288">
        <f t="shared" si="5"/>
        <v>0</v>
      </c>
      <c r="J127" t="s">
        <v>813</v>
      </c>
      <c r="K127" s="32"/>
      <c r="L127" s="33"/>
      <c r="M127" s="32"/>
      <c r="N127" s="41"/>
      <c r="O127" s="40"/>
    </row>
    <row r="128" spans="1:15" ht="12.75">
      <c r="A128" s="26"/>
      <c r="B128" s="21"/>
      <c r="C128" s="22" t="s">
        <v>343</v>
      </c>
      <c r="D128" s="26" t="s">
        <v>519</v>
      </c>
      <c r="E128" s="1289">
        <f>IF(ISNUMBER('FBPQ C2'!K120),'FBPQ C2'!K120,IF(ISNUMBER('FBPQ C2'!I120),'FBPQ C2'!I120,""))</f>
        <v>0</v>
      </c>
      <c r="F128" s="1286" t="s">
        <v>798</v>
      </c>
      <c r="G128" s="1286">
        <f t="shared" si="4"/>
        <v>0</v>
      </c>
      <c r="H128" s="1287">
        <f>IF(ISBLANK('FBPQ T4'!E120)," ",'FBPQ T4'!AE120)</f>
        <v>2776</v>
      </c>
      <c r="I128" s="1288">
        <f t="shared" si="5"/>
        <v>0</v>
      </c>
      <c r="J128" t="s">
        <v>813</v>
      </c>
      <c r="K128" s="32"/>
      <c r="L128" s="33"/>
      <c r="M128" s="32"/>
      <c r="N128" s="41"/>
      <c r="O128" s="40"/>
    </row>
    <row r="129" spans="1:15" ht="12.75">
      <c r="A129" s="26"/>
      <c r="B129" s="21"/>
      <c r="C129" s="22" t="s">
        <v>197</v>
      </c>
      <c r="D129" s="26" t="s">
        <v>519</v>
      </c>
      <c r="E129" s="1289">
        <f>IF(ISNUMBER('FBPQ C2'!K121),'FBPQ C2'!K121,IF(ISNUMBER('FBPQ C2'!I121),'FBPQ C2'!I121,""))</f>
        <v>0</v>
      </c>
      <c r="F129" s="1286" t="s">
        <v>798</v>
      </c>
      <c r="G129" s="1286">
        <f t="shared" si="4"/>
        <v>0</v>
      </c>
      <c r="H129" s="1287">
        <f>IF(ISBLANK('FBPQ T4'!E121)," ",'FBPQ T4'!AE121)</f>
        <v>4787</v>
      </c>
      <c r="I129" s="1288">
        <f t="shared" si="5"/>
        <v>0</v>
      </c>
      <c r="J129" t="s">
        <v>813</v>
      </c>
      <c r="K129" s="32"/>
      <c r="L129" s="33"/>
      <c r="M129" s="46"/>
      <c r="N129" s="41"/>
      <c r="O129" s="42"/>
    </row>
    <row r="130" spans="1:15" ht="12.75">
      <c r="A130" s="26"/>
      <c r="B130" s="21"/>
      <c r="C130" s="22"/>
      <c r="D130" s="26"/>
      <c r="E130" s="1285">
        <f>IF(ISNUMBER('FBPQ C2'!K122),'FBPQ C2'!K122,IF(ISNUMBER('FBPQ C2'!I122),'FBPQ C2'!I122,""))</f>
      </c>
      <c r="F130" s="1286"/>
      <c r="G130" s="1286">
        <f t="shared" si="4"/>
        <v>0</v>
      </c>
      <c r="H130" s="1287" t="str">
        <f>IF(ISBLANK('FBPQ T4'!E122)," ",'FBPQ T4'!AE122)</f>
        <v> </v>
      </c>
      <c r="I130" s="1288" t="str">
        <f t="shared" si="5"/>
        <v> </v>
      </c>
      <c r="J130"/>
      <c r="K130" s="32"/>
      <c r="L130" s="32"/>
      <c r="M130" s="32"/>
      <c r="N130" s="41"/>
      <c r="O130" s="42"/>
    </row>
    <row r="131" spans="1:15" ht="12.75">
      <c r="A131" s="26"/>
      <c r="B131" s="21" t="s">
        <v>419</v>
      </c>
      <c r="C131" s="22"/>
      <c r="D131" s="26"/>
      <c r="E131" s="1285">
        <f>IF(ISNUMBER('FBPQ C2'!K123),'FBPQ C2'!K123,IF(ISNUMBER('FBPQ C2'!I123),'FBPQ C2'!I123,""))</f>
      </c>
      <c r="F131" s="1286"/>
      <c r="G131" s="1286">
        <f t="shared" si="4"/>
        <v>0</v>
      </c>
      <c r="H131" s="1287" t="str">
        <f>IF(ISBLANK('FBPQ T4'!E123)," ",'FBPQ T4'!AE123)</f>
        <v> </v>
      </c>
      <c r="I131" s="1288" t="str">
        <f t="shared" si="5"/>
        <v> </v>
      </c>
      <c r="J131"/>
      <c r="K131" s="32"/>
      <c r="L131" s="33"/>
      <c r="M131" s="32"/>
      <c r="N131" s="41"/>
      <c r="O131" s="40"/>
    </row>
    <row r="132" spans="1:15" ht="12.75">
      <c r="A132" s="26"/>
      <c r="B132" s="21"/>
      <c r="C132" s="22" t="s">
        <v>353</v>
      </c>
      <c r="D132" s="26" t="s">
        <v>844</v>
      </c>
      <c r="E132" s="1285">
        <f>IF(ISNUMBER('FBPQ C2'!K124),'FBPQ C2'!K124,IF(ISNUMBER('FBPQ C2'!I124),'FBPQ C2'!I124,""))</f>
        <v>1239.5652564938177</v>
      </c>
      <c r="F132" s="1286" t="s">
        <v>798</v>
      </c>
      <c r="G132" s="1286">
        <f t="shared" si="4"/>
        <v>1239.5652564938177</v>
      </c>
      <c r="H132" s="1287">
        <f>IF(ISBLANK('FBPQ T4'!E124)," ",'FBPQ T4'!AE124)</f>
        <v>43</v>
      </c>
      <c r="I132" s="1288">
        <f t="shared" si="5"/>
        <v>53301.30602923416</v>
      </c>
      <c r="J132" t="s">
        <v>813</v>
      </c>
      <c r="K132" s="32"/>
      <c r="L132" s="32"/>
      <c r="M132" s="32"/>
      <c r="N132" s="41"/>
      <c r="O132" s="40"/>
    </row>
    <row r="133" spans="1:15" ht="12.75">
      <c r="A133" s="26"/>
      <c r="B133" s="21"/>
      <c r="C133" s="22" t="s">
        <v>352</v>
      </c>
      <c r="D133" s="26" t="s">
        <v>844</v>
      </c>
      <c r="E133" s="1285">
        <f>IF(ISNUMBER('FBPQ C2'!K125),'FBPQ C2'!K125,IF(ISNUMBER('FBPQ C2'!I125),'FBPQ C2'!I125,""))</f>
        <v>1239.5652564938177</v>
      </c>
      <c r="F133" s="1286" t="s">
        <v>798</v>
      </c>
      <c r="G133" s="1286">
        <f t="shared" si="4"/>
        <v>1239.5652564938177</v>
      </c>
      <c r="H133" s="1287">
        <f>IF(ISBLANK('FBPQ T4'!E125)," ",'FBPQ T4'!AE125)</f>
        <v>251</v>
      </c>
      <c r="I133" s="1288">
        <f t="shared" si="5"/>
        <v>311130.87937994825</v>
      </c>
      <c r="J133" t="s">
        <v>813</v>
      </c>
      <c r="K133" s="32"/>
      <c r="L133" s="32"/>
      <c r="M133" s="32"/>
      <c r="N133" s="41"/>
      <c r="O133" s="40"/>
    </row>
    <row r="134" spans="1:15" ht="12.75">
      <c r="A134" s="26"/>
      <c r="B134" s="21"/>
      <c r="C134" s="22" t="s">
        <v>436</v>
      </c>
      <c r="D134" s="26" t="s">
        <v>844</v>
      </c>
      <c r="E134" s="1289">
        <f>E133</f>
        <v>1239.5652564938177</v>
      </c>
      <c r="F134" s="1286" t="s">
        <v>798</v>
      </c>
      <c r="G134" s="1286">
        <f t="shared" si="4"/>
        <v>1239.5652564938177</v>
      </c>
      <c r="H134" s="1287">
        <f>IF(ISBLANK('FBPQ T4'!E126)," ",'FBPQ T4'!AE126)</f>
        <v>16</v>
      </c>
      <c r="I134" s="1288">
        <f t="shared" si="5"/>
        <v>19833.044103901084</v>
      </c>
      <c r="J134" t="s">
        <v>813</v>
      </c>
      <c r="K134" s="32"/>
      <c r="L134" s="32"/>
      <c r="M134" s="32"/>
      <c r="N134" s="41"/>
      <c r="O134" s="42"/>
    </row>
    <row r="135" spans="1:15" ht="12.75">
      <c r="A135" s="26"/>
      <c r="B135" s="21"/>
      <c r="C135" s="22"/>
      <c r="D135" s="26"/>
      <c r="E135" s="1285">
        <f>IF(ISNUMBER('FBPQ C2'!K127),'FBPQ C2'!K127,IF(ISNUMBER('FBPQ C2'!I127),'FBPQ C2'!I127,""))</f>
      </c>
      <c r="F135" s="1286"/>
      <c r="G135" s="1286">
        <f t="shared" si="4"/>
        <v>0</v>
      </c>
      <c r="H135" s="1287" t="str">
        <f>IF(ISBLANK('FBPQ T4'!E127)," ",'FBPQ T4'!AE127)</f>
        <v> </v>
      </c>
      <c r="I135" s="1288" t="str">
        <f t="shared" si="5"/>
        <v> </v>
      </c>
      <c r="J135"/>
      <c r="K135" s="32"/>
      <c r="L135" s="32"/>
      <c r="M135" s="32"/>
      <c r="N135" s="38"/>
      <c r="O135" s="42"/>
    </row>
    <row r="136" spans="1:15" ht="12.75">
      <c r="A136" s="26"/>
      <c r="B136" s="21" t="s">
        <v>583</v>
      </c>
      <c r="C136" s="22"/>
      <c r="D136" s="26"/>
      <c r="E136" s="1285">
        <f>IF(ISNUMBER('FBPQ C2'!K128),'FBPQ C2'!K128,IF(ISNUMBER('FBPQ C2'!I128),'FBPQ C2'!I128,""))</f>
      </c>
      <c r="F136" s="1286"/>
      <c r="G136" s="1286">
        <f t="shared" si="4"/>
        <v>0</v>
      </c>
      <c r="H136" s="1287" t="str">
        <f>IF(ISBLANK('FBPQ T4'!E128)," ",'FBPQ T4'!AE128)</f>
        <v> </v>
      </c>
      <c r="I136" s="1288" t="str">
        <f t="shared" si="5"/>
        <v> </v>
      </c>
      <c r="J136"/>
      <c r="K136" s="32"/>
      <c r="L136" s="33"/>
      <c r="M136" s="32"/>
      <c r="N136" s="38"/>
      <c r="O136" s="40"/>
    </row>
    <row r="137" spans="1:15" ht="12.75">
      <c r="A137" s="26"/>
      <c r="B137" s="21"/>
      <c r="C137" s="22" t="s">
        <v>437</v>
      </c>
      <c r="D137" s="26" t="s">
        <v>844</v>
      </c>
      <c r="E137" s="1285">
        <f>IF(ISNUMBER('FBPQ C2'!K129),'FBPQ C2'!K129,IF(ISNUMBER('FBPQ C2'!I129),'FBPQ C2'!I129,""))</f>
        <v>0</v>
      </c>
      <c r="F137" s="1286" t="s">
        <v>798</v>
      </c>
      <c r="G137" s="1286">
        <f t="shared" si="4"/>
        <v>0</v>
      </c>
      <c r="H137" s="1287">
        <f>IF(ISBLANK('FBPQ T4'!E129)," ",'FBPQ T4'!AE129)</f>
        <v>0</v>
      </c>
      <c r="I137" s="1288">
        <f t="shared" si="5"/>
        <v>0</v>
      </c>
      <c r="J137" t="s">
        <v>813</v>
      </c>
      <c r="K137" s="32"/>
      <c r="L137" s="32"/>
      <c r="M137" s="46"/>
      <c r="N137" s="41"/>
      <c r="O137" s="42"/>
    </row>
    <row r="138" spans="1:15" ht="12.75">
      <c r="A138" s="26"/>
      <c r="B138" s="21"/>
      <c r="C138" s="22"/>
      <c r="D138" s="26"/>
      <c r="E138" s="1285">
        <f>IF(ISNUMBER('FBPQ C2'!K130),'FBPQ C2'!K130,IF(ISNUMBER('FBPQ C2'!I130),'FBPQ C2'!I130,""))</f>
      </c>
      <c r="F138" s="1286"/>
      <c r="G138" s="1286">
        <f t="shared" si="4"/>
        <v>0</v>
      </c>
      <c r="H138" s="1287" t="str">
        <f>IF(ISBLANK('FBPQ T4'!E130)," ",'FBPQ T4'!AE130)</f>
        <v> </v>
      </c>
      <c r="I138" s="1288" t="str">
        <f t="shared" si="5"/>
        <v> </v>
      </c>
      <c r="J138"/>
      <c r="K138" s="32"/>
      <c r="L138" s="32"/>
      <c r="M138" s="32"/>
      <c r="N138" s="38"/>
      <c r="O138" s="42"/>
    </row>
    <row r="139" spans="1:15" ht="12.75">
      <c r="A139" s="26"/>
      <c r="B139" s="21" t="s">
        <v>391</v>
      </c>
      <c r="C139" s="22"/>
      <c r="D139" s="26"/>
      <c r="E139" s="1285">
        <f>IF(ISNUMBER('FBPQ C2'!K131),'FBPQ C2'!K131,IF(ISNUMBER('FBPQ C2'!I131),'FBPQ C2'!I131,""))</f>
      </c>
      <c r="F139" s="1286"/>
      <c r="G139" s="1286">
        <f t="shared" si="4"/>
        <v>0</v>
      </c>
      <c r="H139" s="1287" t="str">
        <f>IF(ISBLANK('FBPQ T4'!E131)," ",'FBPQ T4'!AE131)</f>
        <v> </v>
      </c>
      <c r="I139" s="1288" t="str">
        <f t="shared" si="5"/>
        <v> </v>
      </c>
      <c r="J139"/>
      <c r="K139" s="32"/>
      <c r="L139" s="33"/>
      <c r="M139" s="32"/>
      <c r="N139" s="38"/>
      <c r="O139" s="40"/>
    </row>
    <row r="140" spans="1:15" ht="12.75">
      <c r="A140" s="26"/>
      <c r="B140" s="21"/>
      <c r="C140" s="22" t="s">
        <v>438</v>
      </c>
      <c r="D140" s="26" t="s">
        <v>519</v>
      </c>
      <c r="E140" s="1285">
        <f>IF(ISNUMBER('FBPQ C2'!K132),'FBPQ C2'!K132,IF(ISNUMBER('FBPQ C2'!I132),'FBPQ C2'!I132,""))</f>
        <v>1106.4550181810969</v>
      </c>
      <c r="F140" s="1286" t="s">
        <v>798</v>
      </c>
      <c r="G140" s="1286">
        <f t="shared" si="4"/>
        <v>1106.4550181810969</v>
      </c>
      <c r="H140" s="1287">
        <f>IF(ISBLANK('FBPQ T4'!E132)," ",'FBPQ T4'!AE132)</f>
        <v>295</v>
      </c>
      <c r="I140" s="1288">
        <f t="shared" si="5"/>
        <v>326404.2303634236</v>
      </c>
      <c r="J140" t="s">
        <v>813</v>
      </c>
      <c r="K140" s="32"/>
      <c r="L140" s="32"/>
      <c r="M140" s="32"/>
      <c r="N140" s="41"/>
      <c r="O140" s="43"/>
    </row>
    <row r="141" spans="1:15" ht="12.75">
      <c r="A141" s="26"/>
      <c r="B141" s="21"/>
      <c r="C141" s="22" t="s">
        <v>439</v>
      </c>
      <c r="D141" s="26" t="s">
        <v>519</v>
      </c>
      <c r="E141" s="1289">
        <f>E140</f>
        <v>1106.4550181810969</v>
      </c>
      <c r="F141" s="1286" t="s">
        <v>798</v>
      </c>
      <c r="G141" s="1286">
        <f t="shared" si="4"/>
        <v>1106.4550181810969</v>
      </c>
      <c r="H141" s="1287">
        <f>IF(ISBLANK('FBPQ T4'!E133)," ",'FBPQ T4'!AE133)</f>
        <v>1704</v>
      </c>
      <c r="I141" s="1288">
        <f t="shared" si="5"/>
        <v>1885399.3509805892</v>
      </c>
      <c r="J141" t="s">
        <v>813</v>
      </c>
      <c r="K141" s="32"/>
      <c r="L141" s="32"/>
      <c r="M141" s="32"/>
      <c r="N141" s="41"/>
      <c r="O141" s="42"/>
    </row>
    <row r="142" spans="1:15" ht="12.75">
      <c r="A142" s="26"/>
      <c r="B142" s="21"/>
      <c r="C142" s="22"/>
      <c r="D142" s="26"/>
      <c r="E142" s="1285">
        <f>IF(ISNUMBER('FBPQ C2'!K134),'FBPQ C2'!K134,IF(ISNUMBER('FBPQ C2'!I134),'FBPQ C2'!I134,""))</f>
      </c>
      <c r="F142" s="1286"/>
      <c r="G142" s="1286">
        <f t="shared" si="4"/>
        <v>0</v>
      </c>
      <c r="H142" s="1287" t="str">
        <f>IF(ISBLANK('FBPQ T4'!E134)," ",'FBPQ T4'!AE134)</f>
        <v> </v>
      </c>
      <c r="I142" s="1288" t="str">
        <f t="shared" si="5"/>
        <v> </v>
      </c>
      <c r="J142"/>
      <c r="K142" s="32"/>
      <c r="L142" s="32"/>
      <c r="M142" s="32"/>
      <c r="N142" s="38"/>
      <c r="O142" s="42"/>
    </row>
    <row r="143" spans="1:15" ht="12.75">
      <c r="A143" s="26"/>
      <c r="B143" s="21" t="s">
        <v>146</v>
      </c>
      <c r="C143" s="22"/>
      <c r="D143" s="26"/>
      <c r="E143" s="1285">
        <f>IF(ISNUMBER('FBPQ C2'!K135),'FBPQ C2'!K135,IF(ISNUMBER('FBPQ C2'!I135),'FBPQ C2'!I135,""))</f>
      </c>
      <c r="F143" s="1286"/>
      <c r="G143" s="1286">
        <f t="shared" si="4"/>
        <v>0</v>
      </c>
      <c r="H143" s="1287" t="str">
        <f>IF(ISBLANK('FBPQ T4'!E135)," ",'FBPQ T4'!AE135)</f>
        <v> </v>
      </c>
      <c r="I143" s="1288" t="str">
        <f t="shared" si="5"/>
        <v> </v>
      </c>
      <c r="J143"/>
      <c r="K143" s="32"/>
      <c r="L143" s="33"/>
      <c r="M143" s="32"/>
      <c r="N143" s="41"/>
      <c r="O143" s="40"/>
    </row>
    <row r="144" spans="1:15" ht="12.75">
      <c r="A144" s="26"/>
      <c r="B144" s="21"/>
      <c r="C144" s="22" t="s">
        <v>440</v>
      </c>
      <c r="D144" s="26" t="s">
        <v>519</v>
      </c>
      <c r="E144" s="1285">
        <f>IF(ISNUMBER('FBPQ C2'!K136),'FBPQ C2'!K136,IF(ISNUMBER('FBPQ C2'!I136),'FBPQ C2'!I136,""))</f>
        <v>2234.904373733828</v>
      </c>
      <c r="F144" s="1286" t="s">
        <v>798</v>
      </c>
      <c r="G144" s="1286">
        <f t="shared" si="4"/>
        <v>2234.904373733828</v>
      </c>
      <c r="H144" s="1287">
        <f>IF(ISBLANK('FBPQ T4'!E136)," ",'FBPQ T4'!AE136)</f>
        <v>249</v>
      </c>
      <c r="I144" s="1288">
        <f t="shared" si="5"/>
        <v>556491.1890597232</v>
      </c>
      <c r="J144" t="s">
        <v>811</v>
      </c>
      <c r="K144" s="32"/>
      <c r="L144" s="32"/>
      <c r="M144" s="46"/>
      <c r="N144" s="41"/>
      <c r="O144" s="47"/>
    </row>
    <row r="145" spans="1:15" ht="12.75">
      <c r="A145" s="26"/>
      <c r="B145" s="21"/>
      <c r="C145" s="22" t="s">
        <v>441</v>
      </c>
      <c r="D145" s="26" t="s">
        <v>519</v>
      </c>
      <c r="E145" s="1289">
        <f>E76</f>
        <v>11.95068042158142</v>
      </c>
      <c r="F145" s="1286" t="s">
        <v>798</v>
      </c>
      <c r="G145" s="1286">
        <f t="shared" si="4"/>
        <v>11.95068042158142</v>
      </c>
      <c r="H145" s="1287">
        <f>IF(ISBLANK('FBPQ T4'!E137)," ",'FBPQ T4'!AE137)</f>
        <v>356</v>
      </c>
      <c r="I145" s="1288">
        <f t="shared" si="5"/>
        <v>4254.442230082986</v>
      </c>
      <c r="J145" t="s">
        <v>811</v>
      </c>
      <c r="K145" s="32"/>
      <c r="L145" s="32"/>
      <c r="M145" s="46"/>
      <c r="N145" s="41"/>
      <c r="O145" s="48"/>
    </row>
    <row r="146" spans="1:14" ht="12.75">
      <c r="A146" s="26"/>
      <c r="B146" s="21"/>
      <c r="C146" s="22"/>
      <c r="D146" s="26"/>
      <c r="E146" s="1285">
        <f>IF(ISNUMBER('FBPQ C2'!K138),'FBPQ C2'!K138,IF(ISNUMBER('FBPQ C2'!I138),'FBPQ C2'!I138,""))</f>
      </c>
      <c r="F146" s="1286"/>
      <c r="G146" s="1286">
        <f t="shared" si="4"/>
        <v>0</v>
      </c>
      <c r="H146" s="1287" t="str">
        <f>IF(ISBLANK('FBPQ T4'!E138)," ",'FBPQ T4'!AE138)</f>
        <v> </v>
      </c>
      <c r="I146" s="1288" t="str">
        <f t="shared" si="5"/>
        <v> </v>
      </c>
      <c r="J146"/>
      <c r="K146" s="44"/>
      <c r="L146" s="44"/>
      <c r="M146" s="44"/>
      <c r="N146" s="45"/>
    </row>
    <row r="147" spans="1:10" ht="12.75">
      <c r="A147" s="26" t="s">
        <v>446</v>
      </c>
      <c r="B147" s="21"/>
      <c r="C147" s="22"/>
      <c r="D147" s="26"/>
      <c r="E147" s="1285">
        <f>IF(ISNUMBER('FBPQ C2'!K139),'FBPQ C2'!K139,IF(ISNUMBER('FBPQ C2'!I139),'FBPQ C2'!I139,""))</f>
      </c>
      <c r="F147" s="1286"/>
      <c r="G147" s="1286">
        <f t="shared" si="4"/>
        <v>0</v>
      </c>
      <c r="H147" s="1287" t="str">
        <f>IF(ISBLANK('FBPQ T4'!E139)," ",'FBPQ T4'!AE139)</f>
        <v> </v>
      </c>
      <c r="I147" s="1288" t="str">
        <f t="shared" si="5"/>
        <v> </v>
      </c>
      <c r="J147"/>
    </row>
    <row r="148" spans="1:10" ht="12.75">
      <c r="A148" s="26"/>
      <c r="B148" s="21" t="s">
        <v>449</v>
      </c>
      <c r="C148" s="22"/>
      <c r="D148" s="26"/>
      <c r="E148" s="1285">
        <f>IF(ISNUMBER('FBPQ C2'!K140),'FBPQ C2'!K140,IF(ISNUMBER('FBPQ C2'!I140),'FBPQ C2'!I140,""))</f>
      </c>
      <c r="F148" s="1286"/>
      <c r="G148" s="1286">
        <f aca="true" t="shared" si="6" ref="G148:G163">IF(ISNUMBER(E148),E148,IF(H148&gt;0,F148," "))</f>
        <v>0</v>
      </c>
      <c r="H148" s="1287" t="str">
        <f>IF(ISBLANK('FBPQ T4'!E140)," ",'FBPQ T4'!AE140)</f>
        <v> </v>
      </c>
      <c r="I148" s="1288" t="str">
        <f t="shared" si="5"/>
        <v> </v>
      </c>
      <c r="J148"/>
    </row>
    <row r="149" spans="1:10" ht="12.75">
      <c r="A149" s="26"/>
      <c r="B149" s="21"/>
      <c r="C149" s="22" t="s">
        <v>450</v>
      </c>
      <c r="D149" s="26" t="s">
        <v>519</v>
      </c>
      <c r="E149" s="1289">
        <v>62.645</v>
      </c>
      <c r="F149" s="1286" t="s">
        <v>798</v>
      </c>
      <c r="G149" s="1286">
        <f t="shared" si="6"/>
        <v>62.645</v>
      </c>
      <c r="H149" s="1287">
        <f>IF(ISBLANK('FBPQ T4'!E141)," ",'FBPQ T4'!AE141)</f>
        <v>2</v>
      </c>
      <c r="I149" s="1288">
        <f aca="true" t="shared" si="7" ref="I149:I163">IF(ISERROR(G149*H149)," ",G149*H149)</f>
        <v>125.29</v>
      </c>
      <c r="J149" t="s">
        <v>810</v>
      </c>
    </row>
    <row r="150" spans="1:10" ht="12.75">
      <c r="A150" s="26"/>
      <c r="B150" s="21"/>
      <c r="C150" s="22" t="s">
        <v>462</v>
      </c>
      <c r="D150" s="26" t="s">
        <v>519</v>
      </c>
      <c r="E150" s="1289">
        <v>62.645</v>
      </c>
      <c r="F150" s="1286" t="s">
        <v>798</v>
      </c>
      <c r="G150" s="1286">
        <f t="shared" si="6"/>
        <v>62.645</v>
      </c>
      <c r="H150" s="1287">
        <f>IF(ISBLANK('FBPQ T4'!E142)," ",'FBPQ T4'!AE142)</f>
        <v>262</v>
      </c>
      <c r="I150" s="1288">
        <f t="shared" si="7"/>
        <v>16412.99</v>
      </c>
      <c r="J150" t="s">
        <v>810</v>
      </c>
    </row>
    <row r="151" spans="1:10" ht="12.75">
      <c r="A151" s="26"/>
      <c r="B151" s="21"/>
      <c r="C151" s="22"/>
      <c r="D151" s="26"/>
      <c r="E151" s="1285">
        <f>IF(ISNUMBER('FBPQ C2'!K143),'FBPQ C2'!K143,IF(ISNUMBER('FBPQ C2'!I143),'FBPQ C2'!I143,""))</f>
      </c>
      <c r="F151" s="1286"/>
      <c r="G151" s="1286">
        <f t="shared" si="6"/>
        <v>0</v>
      </c>
      <c r="H151" s="1287" t="str">
        <f>IF(ISBLANK('FBPQ T4'!E143)," ",'FBPQ T4'!AE143)</f>
        <v> </v>
      </c>
      <c r="I151" s="1288" t="str">
        <f t="shared" si="7"/>
        <v> </v>
      </c>
      <c r="J151"/>
    </row>
    <row r="152" spans="1:10" ht="12.75">
      <c r="A152" s="26"/>
      <c r="B152" s="21" t="s">
        <v>463</v>
      </c>
      <c r="C152" s="22"/>
      <c r="D152" s="26"/>
      <c r="E152" s="1285">
        <f>IF(ISNUMBER('FBPQ C2'!K144),'FBPQ C2'!K144,IF(ISNUMBER('FBPQ C2'!I144),'FBPQ C2'!I144,""))</f>
      </c>
      <c r="F152" s="1286"/>
      <c r="G152" s="1286">
        <f t="shared" si="6"/>
        <v>0</v>
      </c>
      <c r="H152" s="1287" t="str">
        <f>IF(ISBLANK('FBPQ T4'!E144)," ",'FBPQ T4'!AE144)</f>
        <v> </v>
      </c>
      <c r="I152" s="1288" t="str">
        <f t="shared" si="7"/>
        <v> </v>
      </c>
      <c r="J152"/>
    </row>
    <row r="153" spans="1:10" ht="12.75">
      <c r="A153" s="26"/>
      <c r="B153" s="21"/>
      <c r="C153" s="22" t="s">
        <v>452</v>
      </c>
      <c r="D153" s="26" t="s">
        <v>519</v>
      </c>
      <c r="E153" s="1289">
        <v>62.645</v>
      </c>
      <c r="F153" s="1286" t="s">
        <v>798</v>
      </c>
      <c r="G153" s="1286">
        <f t="shared" si="6"/>
        <v>62.645</v>
      </c>
      <c r="H153" s="1287">
        <f>IF(ISBLANK('FBPQ T4'!E145)," ",'FBPQ T4'!AE145)</f>
        <v>1773</v>
      </c>
      <c r="I153" s="1290">
        <f t="shared" si="7"/>
        <v>111069.585</v>
      </c>
      <c r="J153" t="s">
        <v>90</v>
      </c>
    </row>
    <row r="154" spans="1:10" ht="12.75">
      <c r="A154" s="26"/>
      <c r="B154" s="21"/>
      <c r="C154" s="22" t="s">
        <v>453</v>
      </c>
      <c r="D154" s="26" t="s">
        <v>519</v>
      </c>
      <c r="E154" s="1289">
        <v>62.645</v>
      </c>
      <c r="F154" s="1286" t="s">
        <v>798</v>
      </c>
      <c r="G154" s="1286">
        <f t="shared" si="6"/>
        <v>62.645</v>
      </c>
      <c r="H154" s="1287">
        <f>IF(ISBLANK('FBPQ T4'!E146)," ",'FBPQ T4'!AE146)</f>
        <v>1264</v>
      </c>
      <c r="I154" s="1288">
        <f t="shared" si="7"/>
        <v>79183.28</v>
      </c>
      <c r="J154" t="s">
        <v>90</v>
      </c>
    </row>
    <row r="155" spans="1:10" ht="12.75">
      <c r="A155" s="26"/>
      <c r="B155" s="21"/>
      <c r="C155" s="22"/>
      <c r="D155" s="26"/>
      <c r="E155" s="1285">
        <f>IF(ISNUMBER('FBPQ C2'!K147),'FBPQ C2'!K147,IF(ISNUMBER('FBPQ C2'!I147),'FBPQ C2'!I147,""))</f>
      </c>
      <c r="F155" s="1286"/>
      <c r="G155" s="1286">
        <f t="shared" si="6"/>
        <v>0</v>
      </c>
      <c r="H155" s="1287" t="str">
        <f>IF(ISBLANK('FBPQ T4'!E147)," ",'FBPQ T4'!AE147)</f>
        <v> </v>
      </c>
      <c r="I155" s="1288" t="str">
        <f t="shared" si="7"/>
        <v> </v>
      </c>
      <c r="J155"/>
    </row>
    <row r="156" spans="1:10" ht="12.75">
      <c r="A156" s="26"/>
      <c r="B156" s="21"/>
      <c r="C156" s="22"/>
      <c r="D156" s="26"/>
      <c r="E156" s="1285">
        <f>IF(ISNUMBER('FBPQ C2'!K148),'FBPQ C2'!K148,IF(ISNUMBER('FBPQ C2'!I148),'FBPQ C2'!I148,""))</f>
      </c>
      <c r="F156" s="1286"/>
      <c r="G156" s="1286">
        <f t="shared" si="6"/>
        <v>0</v>
      </c>
      <c r="H156" s="1287" t="str">
        <f>IF(ISBLANK('FBPQ T4'!E148)," ",'FBPQ T4'!AE148)</f>
        <v> </v>
      </c>
      <c r="I156" s="1288" t="str">
        <f t="shared" si="7"/>
        <v> </v>
      </c>
      <c r="J156"/>
    </row>
    <row r="157" spans="1:10" ht="12.75">
      <c r="A157" s="26" t="s">
        <v>454</v>
      </c>
      <c r="B157" s="21"/>
      <c r="C157" s="22"/>
      <c r="D157" s="26"/>
      <c r="E157" s="1285">
        <f>IF(ISNUMBER('FBPQ C2'!K149),'FBPQ C2'!K149,IF(ISNUMBER('FBPQ C2'!I149),'FBPQ C2'!I149,""))</f>
      </c>
      <c r="F157" s="1286"/>
      <c r="G157" s="1286">
        <f t="shared" si="6"/>
        <v>0</v>
      </c>
      <c r="H157" s="1287" t="str">
        <f>IF(ISBLANK('FBPQ T4'!E149)," ",'FBPQ T4'!AE149)</f>
        <v> </v>
      </c>
      <c r="I157" s="1288" t="str">
        <f t="shared" si="7"/>
        <v> </v>
      </c>
      <c r="J157"/>
    </row>
    <row r="158" spans="1:10" ht="12.75">
      <c r="A158" s="26"/>
      <c r="B158" s="21"/>
      <c r="C158" s="22" t="s">
        <v>725</v>
      </c>
      <c r="D158" s="26"/>
      <c r="E158" s="1285">
        <f>IF(ISNUMBER('FBPQ C2'!K150),'FBPQ C2'!K150,IF(ISNUMBER('FBPQ C2'!I150),'FBPQ C2'!I150,""))</f>
      </c>
      <c r="F158" s="1286"/>
      <c r="G158" s="1286">
        <f t="shared" si="6"/>
        <v>0</v>
      </c>
      <c r="H158" s="1287" t="str">
        <f>IF(ISBLANK('FBPQ T4'!E150)," ",'FBPQ T4'!AE150)</f>
        <v> </v>
      </c>
      <c r="I158" s="1288" t="str">
        <f t="shared" si="7"/>
        <v> </v>
      </c>
      <c r="J158"/>
    </row>
    <row r="159" spans="1:10" ht="12.75">
      <c r="A159" s="26"/>
      <c r="B159" s="21"/>
      <c r="C159" s="22" t="s">
        <v>455</v>
      </c>
      <c r="D159" s="26" t="s">
        <v>519</v>
      </c>
      <c r="E159" s="1285">
        <f>IF(ISNUMBER('FBPQ C2'!K151),'FBPQ C2'!K151,IF(ISNUMBER('FBPQ C2'!I151),'FBPQ C2'!I151,""))</f>
        <v>30.893780238768993</v>
      </c>
      <c r="F159" s="1286" t="s">
        <v>798</v>
      </c>
      <c r="G159" s="1286">
        <f t="shared" si="6"/>
        <v>30.893780238768993</v>
      </c>
      <c r="H159" s="1287" t="str">
        <f>IF(ISBLANK('FBPQ T4'!E151)," ",'FBPQ T4'!AE151)</f>
        <v> </v>
      </c>
      <c r="I159" s="1288" t="str">
        <f t="shared" si="7"/>
        <v> </v>
      </c>
      <c r="J159"/>
    </row>
    <row r="160" spans="1:10" ht="12.75">
      <c r="A160" s="26"/>
      <c r="B160" s="21"/>
      <c r="C160" s="22" t="s">
        <v>456</v>
      </c>
      <c r="D160" s="26" t="s">
        <v>519</v>
      </c>
      <c r="E160" s="1285">
        <f>IF(ISNUMBER('FBPQ C2'!K152),'FBPQ C2'!K152,IF(ISNUMBER('FBPQ C2'!I152),'FBPQ C2'!I152,""))</f>
        <v>7.882363682319661</v>
      </c>
      <c r="F160" s="1286" t="s">
        <v>798</v>
      </c>
      <c r="G160" s="1286">
        <f t="shared" si="6"/>
        <v>7.882363682319661</v>
      </c>
      <c r="H160" s="1287" t="str">
        <f>IF(ISBLANK('FBPQ T4'!E152)," ",'FBPQ T4'!AE152)</f>
        <v> </v>
      </c>
      <c r="I160" s="1288" t="str">
        <f t="shared" si="7"/>
        <v> </v>
      </c>
      <c r="J160"/>
    </row>
    <row r="161" spans="1:10" ht="12.75">
      <c r="A161" s="26"/>
      <c r="B161" s="21"/>
      <c r="C161" s="22" t="s">
        <v>282</v>
      </c>
      <c r="D161" s="26"/>
      <c r="E161" s="1285">
        <f>IF(ISNUMBER('FBPQ C2'!K153),'FBPQ C2'!K153,IF(ISNUMBER('FBPQ C2'!I153),'FBPQ C2'!I153,""))</f>
      </c>
      <c r="F161" s="1286" t="s">
        <v>798</v>
      </c>
      <c r="G161" s="1286" t="str">
        <f t="shared" si="6"/>
        <v>DATA</v>
      </c>
      <c r="H161" s="1287" t="str">
        <f>IF(ISBLANK('FBPQ T4'!E153)," ",'FBPQ T4'!AE153)</f>
        <v> </v>
      </c>
      <c r="I161" s="1288" t="str">
        <f t="shared" si="7"/>
        <v> </v>
      </c>
      <c r="J161"/>
    </row>
    <row r="162" spans="1:10" ht="12.75">
      <c r="A162" s="26"/>
      <c r="B162" s="21"/>
      <c r="C162" s="22" t="s">
        <v>455</v>
      </c>
      <c r="D162" s="26" t="s">
        <v>519</v>
      </c>
      <c r="E162" s="1285">
        <f>IF(ISNUMBER('FBPQ C2'!K154),'FBPQ C2'!K154,IF(ISNUMBER('FBPQ C2'!I154),'FBPQ C2'!I154,""))</f>
        <v>0</v>
      </c>
      <c r="F162" s="1286" t="s">
        <v>798</v>
      </c>
      <c r="G162" s="1286">
        <f t="shared" si="6"/>
        <v>0</v>
      </c>
      <c r="H162" s="1287" t="str">
        <f>IF(ISBLANK('FBPQ T4'!E154)," ",'FBPQ T4'!AE154)</f>
        <v> </v>
      </c>
      <c r="I162" s="1288" t="str">
        <f t="shared" si="7"/>
        <v> </v>
      </c>
      <c r="J162"/>
    </row>
    <row r="163" spans="1:10" ht="12.75">
      <c r="A163" s="25"/>
      <c r="B163" s="23"/>
      <c r="C163" s="24" t="s">
        <v>456</v>
      </c>
      <c r="D163" s="25" t="s">
        <v>519</v>
      </c>
      <c r="E163" s="1291">
        <f>IF(ISNUMBER('FBPQ C2'!K155),'FBPQ C2'!K155,IF(ISNUMBER('FBPQ C2'!I155),'FBPQ C2'!I155,""))</f>
        <v>0</v>
      </c>
      <c r="F163" s="1292" t="s">
        <v>798</v>
      </c>
      <c r="G163" s="1292">
        <f t="shared" si="6"/>
        <v>0</v>
      </c>
      <c r="H163" s="1293" t="str">
        <f>IF(ISBLANK('FBPQ T4'!E155)," ",'FBPQ T4'!AE155)</f>
        <v> </v>
      </c>
      <c r="I163" s="1294" t="str">
        <f t="shared" si="7"/>
        <v> </v>
      </c>
      <c r="J163"/>
    </row>
    <row r="164" spans="8:10" ht="12.75">
      <c r="H164" s="1295" t="s">
        <v>344</v>
      </c>
      <c r="I164" s="1296">
        <f>SUM(I18:I163)</f>
        <v>16745071.574087301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1" customFormat="1" ht="12.75">
      <c r="A1" s="1267" t="s">
        <v>84</v>
      </c>
      <c r="F1" s="911" t="s">
        <v>795</v>
      </c>
    </row>
    <row r="3" spans="2:8" ht="26.25" customHeight="1">
      <c r="B3" s="1435" t="s">
        <v>92</v>
      </c>
      <c r="C3" s="1436"/>
      <c r="D3" s="1437"/>
      <c r="F3" s="1435" t="s">
        <v>30</v>
      </c>
      <c r="G3" s="1436"/>
      <c r="H3" s="1437"/>
    </row>
    <row r="4" spans="2:8" ht="12.75" customHeight="1">
      <c r="B4" s="1434" t="s">
        <v>19</v>
      </c>
      <c r="C4" s="1442"/>
      <c r="D4" s="1441"/>
      <c r="F4" s="1434" t="s">
        <v>19</v>
      </c>
      <c r="G4" s="1442"/>
      <c r="H4" s="1441"/>
    </row>
    <row r="5" spans="2:8" ht="12.75">
      <c r="B5" s="6"/>
      <c r="C5" s="1268" t="s">
        <v>660</v>
      </c>
      <c r="D5" s="1269" t="s">
        <v>85</v>
      </c>
      <c r="F5" s="6"/>
      <c r="G5" s="1268" t="s">
        <v>660</v>
      </c>
      <c r="H5" s="1270" t="s">
        <v>85</v>
      </c>
    </row>
    <row r="6" spans="2:8" ht="12.75">
      <c r="B6" s="1271" t="s">
        <v>695</v>
      </c>
      <c r="C6" s="10">
        <f>C19+F19+I19+C28</f>
        <v>166.8798952627794</v>
      </c>
      <c r="D6" s="239">
        <f>C6/SUM($C$6:$C$9)</f>
        <v>0.17584193572888193</v>
      </c>
      <c r="F6" s="1271" t="s">
        <v>695</v>
      </c>
      <c r="G6" s="52">
        <f>+C39+F39+I39+C49</f>
        <v>166.8798952627794</v>
      </c>
      <c r="H6" s="8">
        <f>G6/SUM($G$6:$G$10)</f>
        <v>0.1758419357288819</v>
      </c>
    </row>
    <row r="7" spans="2:8" ht="12.75">
      <c r="B7" s="1271" t="s">
        <v>694</v>
      </c>
      <c r="C7" s="11">
        <f>C20+F20+I20+C29</f>
        <v>246.0452201908701</v>
      </c>
      <c r="D7" s="240">
        <f>C7/SUM($C$6:$C$9)</f>
        <v>0.25925871853570936</v>
      </c>
      <c r="F7" s="1271" t="s">
        <v>219</v>
      </c>
      <c r="G7" s="53">
        <f>+C40+F40+I40+C50</f>
        <v>50.467924447354974</v>
      </c>
      <c r="H7" s="7">
        <f>G7/SUM($G$6:$G$10)</f>
        <v>0.05317823044572097</v>
      </c>
    </row>
    <row r="8" spans="2:8" ht="12.75">
      <c r="B8" s="1271" t="s">
        <v>815</v>
      </c>
      <c r="C8" s="11">
        <f>C21+F21+I21+C30</f>
        <v>187.02448249234808</v>
      </c>
      <c r="D8" s="240">
        <f>C8/SUM($C$6:$C$9)</f>
        <v>0.19706835852432295</v>
      </c>
      <c r="F8" s="1271" t="s">
        <v>694</v>
      </c>
      <c r="G8" s="53">
        <f>+C41+F41+I41+C51</f>
        <v>195.5772957435152</v>
      </c>
      <c r="H8" s="7">
        <f>G8/SUM($G$6:$G$10)</f>
        <v>0.20608048808998844</v>
      </c>
    </row>
    <row r="9" spans="2:8" ht="12.75">
      <c r="B9" s="1272" t="s">
        <v>265</v>
      </c>
      <c r="C9" s="12">
        <f>C22+F22+I22+C31</f>
        <v>349.08394499724864</v>
      </c>
      <c r="D9" s="241">
        <f>C9/SUM($C$6:$C$9)</f>
        <v>0.3678309872110858</v>
      </c>
      <c r="F9" s="1271" t="s">
        <v>815</v>
      </c>
      <c r="G9" s="53">
        <f>+C42+F42+I42+C52</f>
        <v>187.02448249234808</v>
      </c>
      <c r="H9" s="7">
        <f>G9/SUM($G$6:$G$10)</f>
        <v>0.19706835852432295</v>
      </c>
    </row>
    <row r="10" spans="2:8" ht="12.75">
      <c r="B10" s="1273"/>
      <c r="C10" s="50"/>
      <c r="D10" s="51"/>
      <c r="F10" s="1272" t="s">
        <v>265</v>
      </c>
      <c r="G10" s="54">
        <f>+C43+F43+I43+C53</f>
        <v>349.08394499724864</v>
      </c>
      <c r="H10" s="9">
        <f>G10/SUM($G$6:$G$10)</f>
        <v>0.36783098721108576</v>
      </c>
    </row>
    <row r="11" spans="2:4" ht="12.75">
      <c r="B11" s="1273"/>
      <c r="C11" s="50"/>
      <c r="D11" s="248"/>
    </row>
    <row r="12" spans="2:3" ht="12" customHeight="1">
      <c r="B12" s="1273"/>
      <c r="C12" s="4"/>
    </row>
    <row r="13" s="1" customFormat="1" ht="12.75">
      <c r="A13" s="1267" t="s">
        <v>24</v>
      </c>
    </row>
    <row r="15" ht="5.25" customHeight="1"/>
    <row r="16" spans="2:9" s="2" customFormat="1" ht="26.25" customHeight="1">
      <c r="B16" s="1435" t="s">
        <v>383</v>
      </c>
      <c r="C16" s="1437"/>
      <c r="E16" s="1435" t="s">
        <v>266</v>
      </c>
      <c r="F16" s="1437"/>
      <c r="H16" s="1435" t="s">
        <v>80</v>
      </c>
      <c r="I16" s="1437"/>
    </row>
    <row r="17" spans="2:9" ht="27" customHeight="1">
      <c r="B17" s="1434" t="s">
        <v>20</v>
      </c>
      <c r="C17" s="1441"/>
      <c r="E17" s="1434" t="s">
        <v>274</v>
      </c>
      <c r="F17" s="1441"/>
      <c r="H17" s="1434" t="s">
        <v>81</v>
      </c>
      <c r="I17" s="1441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271" t="s">
        <v>695</v>
      </c>
      <c r="C19" s="11">
        <f>SUM('FBPQ LR1'!D82:M82)-SUM('FBPQ LR1'!D110:M110)</f>
        <v>29.935989292598578</v>
      </c>
      <c r="E19" s="1274" t="s">
        <v>695</v>
      </c>
      <c r="F19" s="11">
        <f>SUM('FBPQ LR4'!D11:M11)</f>
        <v>10.756772462044905</v>
      </c>
      <c r="H19" s="1274" t="s">
        <v>695</v>
      </c>
      <c r="I19" s="11">
        <f>SUM('FBPQ LR6'!C28:L28)</f>
        <v>0</v>
      </c>
    </row>
    <row r="20" spans="2:9" ht="12.75">
      <c r="B20" s="1271" t="s">
        <v>694</v>
      </c>
      <c r="C20" s="11">
        <f>SUM('FBPQ LR1'!D86:M86)-SUM('FBPQ LR1'!D114:M114)</f>
        <v>9.6943771821511</v>
      </c>
      <c r="E20" s="1274" t="s">
        <v>694</v>
      </c>
      <c r="F20" s="11">
        <f>SUM('FBPQ LR4'!D12:M12)</f>
        <v>30.575324895711095</v>
      </c>
      <c r="H20" s="1274" t="s">
        <v>694</v>
      </c>
      <c r="I20" s="11">
        <f>SUM('FBPQ LR6'!C29:L29)</f>
        <v>0</v>
      </c>
    </row>
    <row r="21" spans="2:9" ht="12.75">
      <c r="B21" s="1271" t="s">
        <v>815</v>
      </c>
      <c r="C21" s="11">
        <f>SUM('FBPQ LR1'!D90:M90)-SUM('FBPQ LR1'!D118:M118)</f>
        <v>0</v>
      </c>
      <c r="E21" s="1274" t="s">
        <v>815</v>
      </c>
      <c r="F21" s="11">
        <f>SUM('FBPQ LR4'!D13:M13)</f>
        <v>108.75996228110381</v>
      </c>
      <c r="H21" s="1274" t="s">
        <v>815</v>
      </c>
      <c r="I21" s="11">
        <f>SUM('FBPQ LR6'!C30:L30)</f>
        <v>4.218651015645038</v>
      </c>
    </row>
    <row r="22" spans="2:9" ht="12.75">
      <c r="B22" s="1272" t="s">
        <v>265</v>
      </c>
      <c r="C22" s="12">
        <f>SUM('FBPQ LR1'!D94:M94)-SUM('FBPQ LR1'!D122:M122)</f>
        <v>0</v>
      </c>
      <c r="E22" s="1275" t="s">
        <v>265</v>
      </c>
      <c r="F22" s="12">
        <f>SUM('FBPQ LR4'!D14:M14)</f>
        <v>99.4740265228125</v>
      </c>
      <c r="H22" s="1275" t="s">
        <v>265</v>
      </c>
      <c r="I22" s="12">
        <f>SUM('FBPQ LR6'!C31:L31)</f>
        <v>15.055225002265182</v>
      </c>
    </row>
    <row r="25" spans="2:3" ht="24.75" customHeight="1">
      <c r="B25" s="1435" t="s">
        <v>82</v>
      </c>
      <c r="C25" s="1437"/>
    </row>
    <row r="26" spans="2:3" ht="27.75" customHeight="1">
      <c r="B26" s="1434" t="s">
        <v>83</v>
      </c>
      <c r="C26" s="1441"/>
    </row>
    <row r="27" spans="2:3" ht="12.75">
      <c r="B27" s="3"/>
      <c r="C27" s="10"/>
    </row>
    <row r="28" spans="2:3" ht="12.75">
      <c r="B28" s="1274" t="s">
        <v>695</v>
      </c>
      <c r="C28" s="11">
        <f>SUM('FBPQ NL1'!D10:M16)</f>
        <v>126.18713350813591</v>
      </c>
    </row>
    <row r="29" spans="2:3" ht="12.75">
      <c r="B29" s="1274" t="s">
        <v>694</v>
      </c>
      <c r="C29" s="11">
        <f>SUM('FBPQ NL1'!D17:M22)</f>
        <v>205.7755181130079</v>
      </c>
    </row>
    <row r="30" spans="2:3" ht="12.75">
      <c r="B30" s="1274" t="s">
        <v>815</v>
      </c>
      <c r="C30" s="11">
        <f>SUM('FBPQ NL1'!D23:M28)</f>
        <v>74.04586919559924</v>
      </c>
    </row>
    <row r="31" spans="2:3" ht="12.75">
      <c r="B31" s="1275" t="s">
        <v>265</v>
      </c>
      <c r="C31" s="12">
        <f>SUM('FBPQ NL1'!D29:M34)</f>
        <v>234.55469347217092</v>
      </c>
    </row>
    <row r="33" s="1" customFormat="1" ht="12.75">
      <c r="A33" s="1267" t="s">
        <v>91</v>
      </c>
    </row>
    <row r="35" ht="5.25" customHeight="1"/>
    <row r="36" spans="2:9" s="2" customFormat="1" ht="26.25" customHeight="1">
      <c r="B36" s="1435" t="s">
        <v>383</v>
      </c>
      <c r="C36" s="1437"/>
      <c r="E36" s="1435" t="s">
        <v>266</v>
      </c>
      <c r="F36" s="1437"/>
      <c r="H36" s="1435" t="s">
        <v>80</v>
      </c>
      <c r="I36" s="1437"/>
    </row>
    <row r="37" spans="2:9" ht="27" customHeight="1">
      <c r="B37" s="1434" t="s">
        <v>20</v>
      </c>
      <c r="C37" s="1441"/>
      <c r="E37" s="1434" t="s">
        <v>274</v>
      </c>
      <c r="F37" s="1441"/>
      <c r="H37" s="1434" t="s">
        <v>81</v>
      </c>
      <c r="I37" s="1441"/>
    </row>
    <row r="38" spans="2:9" ht="12.75" customHeight="1">
      <c r="B38" s="13"/>
      <c r="C38" s="10"/>
      <c r="E38" s="3"/>
      <c r="F38" s="10"/>
      <c r="H38" s="3"/>
      <c r="I38" s="10"/>
    </row>
    <row r="39" spans="2:9" ht="12.75">
      <c r="B39" s="1271" t="s">
        <v>695</v>
      </c>
      <c r="C39" s="11">
        <f>SUM('FBPQ LR1'!D82:M82)-SUM('FBPQ LR1'!D110:M110)</f>
        <v>29.935989292598578</v>
      </c>
      <c r="E39" s="1274" t="s">
        <v>695</v>
      </c>
      <c r="F39" s="11">
        <f>SUM('FBPQ LR4'!D11:M11)</f>
        <v>10.756772462044905</v>
      </c>
      <c r="H39" s="1274" t="s">
        <v>695</v>
      </c>
      <c r="I39" s="11">
        <f>SUM('FBPQ LR6'!C28:L28)</f>
        <v>0</v>
      </c>
    </row>
    <row r="40" spans="2:10" ht="38.25">
      <c r="B40" s="1271" t="s">
        <v>219</v>
      </c>
      <c r="C40" s="11">
        <f>(SUM('FBPQ LR1'!D86:M86)-SUM('FBPQ LR1'!D114:M114))*(G50)</f>
        <v>2.3811685205236506</v>
      </c>
      <c r="D40" s="1276" t="s">
        <v>539</v>
      </c>
      <c r="E40" s="1271" t="s">
        <v>219</v>
      </c>
      <c r="F40" s="11">
        <f>SUM('FBPQ LR4'!D12:M12)*(G50)</f>
        <v>7.510023571240449</v>
      </c>
      <c r="G40" s="1276" t="s">
        <v>539</v>
      </c>
      <c r="H40" s="1271" t="s">
        <v>219</v>
      </c>
      <c r="I40" s="11">
        <f>SUM('FBPQ LR6'!C29:L29)*(G50)</f>
        <v>0</v>
      </c>
      <c r="J40" s="1276" t="s">
        <v>539</v>
      </c>
    </row>
    <row r="41" spans="2:9" ht="12.75">
      <c r="B41" s="1271" t="s">
        <v>694</v>
      </c>
      <c r="C41" s="11">
        <f>(SUM('FBPQ LR1'!D86:M86)-SUM('FBPQ LR1'!D114:M114))*(1-G50)</f>
        <v>7.313208661627449</v>
      </c>
      <c r="E41" s="1274" t="s">
        <v>694</v>
      </c>
      <c r="F41" s="11">
        <f>SUM('FBPQ LR4'!D12:M12)*(1-G50)</f>
        <v>23.065301324470646</v>
      </c>
      <c r="H41" s="1274" t="s">
        <v>694</v>
      </c>
      <c r="I41" s="11">
        <f>SUM('FBPQ LR6'!C29:L29)*(1-G50)</f>
        <v>0</v>
      </c>
    </row>
    <row r="42" spans="2:9" ht="12.75">
      <c r="B42" s="1271" t="s">
        <v>815</v>
      </c>
      <c r="C42" s="11">
        <f>SUM('FBPQ LR1'!D90:M90)-SUM('FBPQ LR1'!D118:M118)</f>
        <v>0</v>
      </c>
      <c r="E42" s="1274" t="s">
        <v>815</v>
      </c>
      <c r="F42" s="11">
        <f>SUM('FBPQ LR4'!D13:M13)</f>
        <v>108.75996228110381</v>
      </c>
      <c r="H42" s="1274" t="s">
        <v>815</v>
      </c>
      <c r="I42" s="11">
        <f>SUM('FBPQ LR6'!C30:L30)</f>
        <v>4.218651015645038</v>
      </c>
    </row>
    <row r="43" spans="2:9" ht="12.75">
      <c r="B43" s="1272" t="s">
        <v>265</v>
      </c>
      <c r="C43" s="12">
        <f>SUM('FBPQ LR1'!D94:M94)-SUM('FBPQ LR1'!D122:M122)</f>
        <v>0</v>
      </c>
      <c r="E43" s="1275" t="s">
        <v>265</v>
      </c>
      <c r="F43" s="12">
        <f>SUM('FBPQ LR4'!D14:M14)</f>
        <v>99.4740265228125</v>
      </c>
      <c r="H43" s="1275" t="s">
        <v>265</v>
      </c>
      <c r="I43" s="12">
        <f>SUM('FBPQ LR6'!C31:L31)</f>
        <v>15.055225002265182</v>
      </c>
    </row>
    <row r="46" spans="2:3" ht="24.75" customHeight="1">
      <c r="B46" s="1435" t="s">
        <v>82</v>
      </c>
      <c r="C46" s="1437"/>
    </row>
    <row r="47" spans="2:3" ht="27.75" customHeight="1">
      <c r="B47" s="1434" t="s">
        <v>83</v>
      </c>
      <c r="C47" s="1441"/>
    </row>
    <row r="48" spans="2:3" ht="12.75">
      <c r="B48" s="3"/>
      <c r="C48" s="10"/>
    </row>
    <row r="49" spans="2:3" ht="12.75">
      <c r="B49" s="1274" t="s">
        <v>695</v>
      </c>
      <c r="C49" s="11">
        <f>SUM('FBPQ NL1'!D10:M16)</f>
        <v>126.18713350813591</v>
      </c>
    </row>
    <row r="50" spans="2:7" ht="12.75">
      <c r="B50" s="1274" t="s">
        <v>219</v>
      </c>
      <c r="C50" s="11">
        <f>SUM('FBPQ NL1'!D21:M22)</f>
        <v>40.57673235559087</v>
      </c>
      <c r="D50" s="1277" t="s">
        <v>540</v>
      </c>
      <c r="F50" s="1277" t="s">
        <v>541</v>
      </c>
      <c r="G50" s="278">
        <f>C50/C51</f>
        <v>0.24562367192683227</v>
      </c>
    </row>
    <row r="51" spans="2:3" ht="12.75">
      <c r="B51" s="1271" t="s">
        <v>694</v>
      </c>
      <c r="C51" s="11">
        <f>SUM('FBPQ NL1'!D17:M20)</f>
        <v>165.1987857574171</v>
      </c>
    </row>
    <row r="52" spans="2:3" ht="12.75">
      <c r="B52" s="1274" t="s">
        <v>815</v>
      </c>
      <c r="C52" s="11">
        <f>SUM('FBPQ NL1'!D23:M28)</f>
        <v>74.04586919559924</v>
      </c>
    </row>
    <row r="53" spans="2:3" ht="12.75">
      <c r="B53" s="1275" t="s">
        <v>265</v>
      </c>
      <c r="C53" s="12">
        <f>SUM('FBPQ NL1'!D29:M34)</f>
        <v>234.55469347217092</v>
      </c>
    </row>
  </sheetData>
  <sheetProtection/>
  <mergeCells count="20">
    <mergeCell ref="H36:I36"/>
    <mergeCell ref="B37:C37"/>
    <mergeCell ref="H37:I37"/>
    <mergeCell ref="B46:C46"/>
    <mergeCell ref="B3:D3"/>
    <mergeCell ref="B26:C26"/>
    <mergeCell ref="E37:F37"/>
    <mergeCell ref="B25:C25"/>
    <mergeCell ref="B36:C36"/>
    <mergeCell ref="E36:F36"/>
    <mergeCell ref="E17:F17"/>
    <mergeCell ref="E16:F16"/>
    <mergeCell ref="B16:C16"/>
    <mergeCell ref="B17:C17"/>
    <mergeCell ref="B47:C47"/>
    <mergeCell ref="F3:H3"/>
    <mergeCell ref="F4:H4"/>
    <mergeCell ref="H17:I17"/>
    <mergeCell ref="H16:I16"/>
    <mergeCell ref="B4:D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916" t="s">
        <v>315</v>
      </c>
      <c r="J1" s="911" t="s">
        <v>795</v>
      </c>
    </row>
    <row r="8" spans="1:12" ht="15">
      <c r="A8" s="353" t="s">
        <v>316</v>
      </c>
      <c r="B8" s="1254"/>
      <c r="C8" s="34"/>
      <c r="D8" s="1255"/>
      <c r="E8" s="1254"/>
      <c r="F8" s="1254"/>
      <c r="G8" s="1256"/>
      <c r="H8" s="354" t="s">
        <v>674</v>
      </c>
      <c r="I8" s="354" t="s">
        <v>675</v>
      </c>
      <c r="J8" s="354" t="s">
        <v>535</v>
      </c>
      <c r="K8" s="354" t="s">
        <v>676</v>
      </c>
      <c r="L8" s="354" t="s">
        <v>538</v>
      </c>
    </row>
    <row r="9" spans="8:12" ht="15">
      <c r="H9" s="354">
        <v>16</v>
      </c>
      <c r="I9" s="354">
        <v>17</v>
      </c>
      <c r="J9" s="354">
        <v>18</v>
      </c>
      <c r="K9" s="354">
        <v>19</v>
      </c>
      <c r="L9" s="354">
        <v>20</v>
      </c>
    </row>
    <row r="10" spans="8:12" ht="15">
      <c r="H10" s="354"/>
      <c r="I10" s="354"/>
      <c r="J10" s="354"/>
      <c r="K10" s="354"/>
      <c r="L10" s="354"/>
    </row>
    <row r="11" spans="2:12" ht="14.25">
      <c r="B11" s="1256" t="s">
        <v>300</v>
      </c>
      <c r="F11" t="s">
        <v>660</v>
      </c>
      <c r="H11" s="1257">
        <v>255.06868</v>
      </c>
      <c r="I11" s="1257">
        <v>262.016405</v>
      </c>
      <c r="J11" s="1257">
        <v>274.191564</v>
      </c>
      <c r="K11" s="1257"/>
      <c r="L11" s="1257"/>
    </row>
    <row r="12" spans="2:12" ht="14.25">
      <c r="B12" s="1256" t="s">
        <v>158</v>
      </c>
      <c r="F12" t="s">
        <v>660</v>
      </c>
      <c r="H12" s="1257">
        <v>-1.912898</v>
      </c>
      <c r="I12" s="1257">
        <v>-3.591914</v>
      </c>
      <c r="J12" s="1257">
        <v>-3.637995</v>
      </c>
      <c r="K12" s="1257"/>
      <c r="L12" s="1257"/>
    </row>
    <row r="13" spans="2:12" ht="14.25">
      <c r="B13" s="1256" t="s">
        <v>159</v>
      </c>
      <c r="F13" t="s">
        <v>660</v>
      </c>
      <c r="H13" s="1257">
        <v>4.56762</v>
      </c>
      <c r="I13" s="1257">
        <v>8.852308</v>
      </c>
      <c r="J13" s="1257">
        <v>7.172595</v>
      </c>
      <c r="K13" s="1257"/>
      <c r="L13" s="1257"/>
    </row>
    <row r="14" spans="2:12" ht="14.25">
      <c r="B14" s="1256" t="s">
        <v>160</v>
      </c>
      <c r="F14" t="s">
        <v>660</v>
      </c>
      <c r="H14" s="1257">
        <v>-0.082133</v>
      </c>
      <c r="I14" s="1257">
        <v>-11.672268</v>
      </c>
      <c r="J14" s="1257">
        <v>-1.294306</v>
      </c>
      <c r="K14" s="1257"/>
      <c r="L14" s="1257"/>
    </row>
    <row r="15" spans="2:12" ht="14.25">
      <c r="B15" s="1256"/>
      <c r="H15" s="1258"/>
      <c r="I15" s="1258"/>
      <c r="J15" s="1258"/>
      <c r="K15" s="1258"/>
      <c r="L15" s="1258"/>
    </row>
    <row r="16" spans="2:12" ht="14.25">
      <c r="B16" s="1256" t="s">
        <v>161</v>
      </c>
      <c r="F16" t="s">
        <v>660</v>
      </c>
      <c r="H16" s="1259">
        <v>257.805535</v>
      </c>
      <c r="I16" s="1259">
        <v>278.949067</v>
      </c>
      <c r="J16" s="1259">
        <v>279.02047</v>
      </c>
      <c r="K16" s="1259"/>
      <c r="L16" s="1259"/>
    </row>
    <row r="17" spans="2:12" ht="14.25">
      <c r="B17" s="1256"/>
      <c r="H17" s="1260"/>
      <c r="I17" s="1260"/>
      <c r="J17" s="1260"/>
      <c r="K17" s="1260"/>
      <c r="L17" s="1260"/>
    </row>
    <row r="18" spans="2:12" ht="14.25">
      <c r="B18" s="1256" t="s">
        <v>299</v>
      </c>
      <c r="F18" t="s">
        <v>660</v>
      </c>
      <c r="H18" s="1257">
        <v>246.67</v>
      </c>
      <c r="I18" s="1257">
        <v>277.74</v>
      </c>
      <c r="J18" s="1257">
        <v>278.05</v>
      </c>
      <c r="K18" s="1257"/>
      <c r="L18" s="1257"/>
    </row>
    <row r="19" spans="2:12" ht="14.25">
      <c r="B19" s="1256" t="s">
        <v>27</v>
      </c>
      <c r="F19" t="s">
        <v>660</v>
      </c>
      <c r="H19" s="1257">
        <v>2.53</v>
      </c>
      <c r="I19" s="1257">
        <v>-2.64</v>
      </c>
      <c r="J19" s="1257">
        <v>-4.83</v>
      </c>
      <c r="K19" s="1257"/>
      <c r="L19" s="1257"/>
    </row>
    <row r="20" spans="2:12" ht="14.25">
      <c r="B20" s="1256"/>
      <c r="H20" s="1258"/>
      <c r="I20" s="1258"/>
      <c r="J20" s="1258"/>
      <c r="K20" s="1258"/>
      <c r="L20" s="1258"/>
    </row>
    <row r="21" spans="2:12" ht="14.25">
      <c r="B21" s="1256" t="s">
        <v>102</v>
      </c>
      <c r="F21" t="s">
        <v>660</v>
      </c>
      <c r="H21" s="1261">
        <v>-11.135535</v>
      </c>
      <c r="I21" s="1261">
        <v>-1.209067</v>
      </c>
      <c r="J21" s="1261">
        <v>-0.97047</v>
      </c>
      <c r="K21" s="1261"/>
      <c r="L21" s="1261"/>
    </row>
    <row r="22" spans="8:12" ht="14.25">
      <c r="H22" s="1260"/>
      <c r="I22" s="1260"/>
      <c r="J22" s="1260"/>
      <c r="K22" s="1260"/>
      <c r="L22" s="1260"/>
    </row>
    <row r="23" spans="8:12" ht="14.25">
      <c r="H23" s="1260"/>
      <c r="I23" s="1260"/>
      <c r="J23" s="1260"/>
      <c r="K23" s="1260"/>
      <c r="L23" s="1260"/>
    </row>
    <row r="24" spans="1:12" ht="15">
      <c r="A24" s="353" t="s">
        <v>103</v>
      </c>
      <c r="H24" s="1260"/>
      <c r="I24" s="1260"/>
      <c r="J24" s="1260"/>
      <c r="K24" s="1260"/>
      <c r="L24" s="1260"/>
    </row>
    <row r="25" spans="8:12" ht="14.25">
      <c r="H25" s="1260"/>
      <c r="I25" s="1260"/>
      <c r="J25" s="1260"/>
      <c r="K25" s="1260"/>
      <c r="L25" s="1260"/>
    </row>
    <row r="26" spans="2:12" ht="14.25">
      <c r="B26" s="1256" t="s">
        <v>104</v>
      </c>
      <c r="F26" t="s">
        <v>660</v>
      </c>
      <c r="H26" s="1257">
        <v>0</v>
      </c>
      <c r="I26" s="1257">
        <v>0.025645</v>
      </c>
      <c r="J26" s="1257">
        <v>0.061178</v>
      </c>
      <c r="K26" s="1257"/>
      <c r="L26" s="1257"/>
    </row>
    <row r="27" spans="2:12" ht="14.25">
      <c r="B27" s="1256" t="s">
        <v>105</v>
      </c>
      <c r="F27" t="s">
        <v>660</v>
      </c>
      <c r="H27" s="1257">
        <v>0</v>
      </c>
      <c r="I27" s="1257">
        <v>0</v>
      </c>
      <c r="J27" s="1257">
        <v>0</v>
      </c>
      <c r="K27" s="1257"/>
      <c r="L27" s="1257"/>
    </row>
    <row r="28" spans="2:12" ht="14.25">
      <c r="B28" s="1256" t="s">
        <v>106</v>
      </c>
      <c r="F28" t="s">
        <v>660</v>
      </c>
      <c r="H28" s="1257">
        <v>0</v>
      </c>
      <c r="I28" s="1257">
        <v>0</v>
      </c>
      <c r="J28" s="1257">
        <v>0.004662</v>
      </c>
      <c r="K28" s="1257"/>
      <c r="L28" s="1257"/>
    </row>
    <row r="29" spans="2:12" ht="14.25">
      <c r="B29" s="1256"/>
      <c r="H29" s="1258"/>
      <c r="I29" s="1258"/>
      <c r="J29" s="1258"/>
      <c r="K29" s="1258"/>
      <c r="L29" s="1258"/>
    </row>
    <row r="30" spans="2:12" ht="14.25">
      <c r="B30" s="943" t="s">
        <v>103</v>
      </c>
      <c r="F30" t="s">
        <v>660</v>
      </c>
      <c r="H30" s="1259">
        <v>0</v>
      </c>
      <c r="I30" s="1259">
        <v>0.025645</v>
      </c>
      <c r="J30" s="1259">
        <v>0.056516</v>
      </c>
      <c r="K30" s="1259"/>
      <c r="L30" s="1259"/>
    </row>
    <row r="31" spans="2:12" ht="14.25">
      <c r="B31" s="1256"/>
      <c r="H31" s="1260"/>
      <c r="I31" s="1260"/>
      <c r="J31" s="1260"/>
      <c r="K31" s="1260"/>
      <c r="L31" s="1260"/>
    </row>
    <row r="32" spans="2:12" ht="14.25">
      <c r="B32" s="1256" t="s">
        <v>54</v>
      </c>
      <c r="F32" t="s">
        <v>660</v>
      </c>
      <c r="H32" s="1257">
        <v>0</v>
      </c>
      <c r="I32" s="1257">
        <v>0.03</v>
      </c>
      <c r="J32" s="1257">
        <v>0.07</v>
      </c>
      <c r="K32" s="1257"/>
      <c r="L32" s="1257"/>
    </row>
    <row r="33" spans="2:12" ht="14.25">
      <c r="B33" s="1256"/>
      <c r="H33" s="1260"/>
      <c r="I33" s="1260"/>
      <c r="J33" s="1260"/>
      <c r="K33" s="1260"/>
      <c r="L33" s="1260"/>
    </row>
    <row r="34" spans="2:12" ht="14.25">
      <c r="B34" s="1256" t="s">
        <v>102</v>
      </c>
      <c r="F34" t="s">
        <v>660</v>
      </c>
      <c r="H34" s="1261">
        <v>0</v>
      </c>
      <c r="I34" s="1261">
        <v>0.004355</v>
      </c>
      <c r="J34" s="1261">
        <v>0.013484</v>
      </c>
      <c r="K34" s="1261"/>
      <c r="L34" s="1261"/>
    </row>
    <row r="35" spans="8:12" ht="14.25">
      <c r="H35" s="1260"/>
      <c r="I35" s="1260"/>
      <c r="J35" s="1260"/>
      <c r="K35" s="1260"/>
      <c r="L35" s="1260"/>
    </row>
    <row r="36" spans="8:12" ht="14.25">
      <c r="H36" s="1260"/>
      <c r="I36" s="1260"/>
      <c r="J36" s="1260"/>
      <c r="K36" s="1260"/>
      <c r="L36" s="1260"/>
    </row>
    <row r="37" spans="1:12" ht="15">
      <c r="A37" s="353" t="s">
        <v>55</v>
      </c>
      <c r="H37" s="1262"/>
      <c r="I37" s="1262"/>
      <c r="J37" s="1262"/>
      <c r="K37" s="1262"/>
      <c r="L37" s="1262"/>
    </row>
    <row r="38" spans="2:12" ht="14.25">
      <c r="B38" s="943" t="s">
        <v>62</v>
      </c>
      <c r="F38" t="s">
        <v>660</v>
      </c>
      <c r="H38" s="1257">
        <v>6.5</v>
      </c>
      <c r="I38" s="1257">
        <v>8.22</v>
      </c>
      <c r="J38" s="1257">
        <v>7.78</v>
      </c>
      <c r="K38" s="1257"/>
      <c r="L38" s="1257"/>
    </row>
    <row r="39" spans="2:12" ht="14.25">
      <c r="B39" s="1256" t="s">
        <v>23</v>
      </c>
      <c r="F39" t="s">
        <v>660</v>
      </c>
      <c r="H39" s="1257">
        <v>4.735894</v>
      </c>
      <c r="I39" s="1257">
        <v>3.994996</v>
      </c>
      <c r="J39" s="1263">
        <v>0</v>
      </c>
      <c r="K39" s="1263"/>
      <c r="L39" s="1263"/>
    </row>
    <row r="40" spans="3:12" ht="14.25">
      <c r="C40" s="1256"/>
      <c r="H40" s="1260"/>
      <c r="I40" s="1260"/>
      <c r="J40" s="1260"/>
      <c r="K40" s="1260"/>
      <c r="L40" s="1260"/>
    </row>
    <row r="41" spans="8:12" ht="14.25">
      <c r="H41" s="1264">
        <v>11.235894</v>
      </c>
      <c r="I41" s="1264">
        <v>12.214996</v>
      </c>
      <c r="J41" s="1264">
        <v>7.78</v>
      </c>
      <c r="K41" s="1264"/>
      <c r="L41" s="1264"/>
    </row>
    <row r="42" spans="8:12" ht="14.25">
      <c r="H42" s="1262"/>
      <c r="I42" s="1262"/>
      <c r="J42" s="1262"/>
      <c r="K42" s="1262"/>
      <c r="L42" s="1262"/>
    </row>
    <row r="43" spans="8:12" ht="14.25">
      <c r="H43" s="1262"/>
      <c r="I43" s="1262"/>
      <c r="J43" s="1262"/>
      <c r="K43" s="1262"/>
      <c r="L43" s="1262"/>
    </row>
    <row r="44" spans="1:12" ht="15">
      <c r="A44" s="353" t="s">
        <v>38</v>
      </c>
      <c r="H44" s="1262"/>
      <c r="I44" s="1262"/>
      <c r="J44" s="1262"/>
      <c r="K44" s="1262"/>
      <c r="L44" s="1262"/>
    </row>
    <row r="45" spans="1:12" ht="15">
      <c r="A45" s="353"/>
      <c r="B45" s="1256" t="s">
        <v>39</v>
      </c>
      <c r="F45" t="s">
        <v>660</v>
      </c>
      <c r="H45" s="1257">
        <v>20.66</v>
      </c>
      <c r="I45" s="1257">
        <v>51.69</v>
      </c>
      <c r="J45" s="1257">
        <v>74.23</v>
      </c>
      <c r="K45" s="1257"/>
      <c r="L45" s="1257"/>
    </row>
    <row r="46" spans="2:12" ht="14.25">
      <c r="B46" s="1256" t="s">
        <v>40</v>
      </c>
      <c r="F46" t="s">
        <v>660</v>
      </c>
      <c r="H46" s="1265">
        <v>6.63</v>
      </c>
      <c r="I46" s="1265">
        <v>7.24</v>
      </c>
      <c r="J46" s="1265">
        <v>7.96</v>
      </c>
      <c r="K46" s="1265"/>
      <c r="L46" s="1265"/>
    </row>
    <row r="47" spans="2:12" ht="14.25">
      <c r="B47" s="1256" t="s">
        <v>41</v>
      </c>
      <c r="F47" t="s">
        <v>660</v>
      </c>
      <c r="H47" s="1265">
        <v>0</v>
      </c>
      <c r="I47" s="1265">
        <v>0.4</v>
      </c>
      <c r="J47" s="1265">
        <v>0.65</v>
      </c>
      <c r="K47" s="1265"/>
      <c r="L47" s="1265"/>
    </row>
    <row r="48" spans="8:12" ht="14.25">
      <c r="H48" s="1262"/>
      <c r="I48" s="1262"/>
      <c r="J48" s="1262"/>
      <c r="K48" s="1262"/>
      <c r="L48" s="1262"/>
    </row>
    <row r="49" spans="8:12" ht="14.25">
      <c r="H49" s="1261">
        <v>27.29</v>
      </c>
      <c r="I49" s="1261">
        <v>59.33</v>
      </c>
      <c r="J49" s="1261">
        <v>82.84</v>
      </c>
      <c r="K49" s="1261"/>
      <c r="L49" s="1261"/>
    </row>
    <row r="50" spans="8:12" ht="14.25">
      <c r="H50" s="1256"/>
      <c r="I50" s="1256"/>
      <c r="J50" s="1256"/>
      <c r="K50" s="1256"/>
      <c r="L50" s="1256"/>
    </row>
    <row r="51" spans="8:12" ht="14.25">
      <c r="H51" s="1266"/>
      <c r="I51" s="1266"/>
      <c r="J51" s="1266"/>
      <c r="K51" s="1266"/>
      <c r="L51" s="1266"/>
    </row>
    <row r="52" spans="8:12" ht="14.25">
      <c r="H52" s="1256"/>
      <c r="I52" s="1256"/>
      <c r="J52" s="1256"/>
      <c r="K52" s="1256"/>
      <c r="L52" s="1256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279" t="s">
        <v>632</v>
      </c>
      <c r="D1" s="279" t="s">
        <v>628</v>
      </c>
      <c r="E1" s="279" t="s">
        <v>629</v>
      </c>
      <c r="F1" s="279" t="s">
        <v>630</v>
      </c>
      <c r="G1" s="279" t="s">
        <v>631</v>
      </c>
      <c r="H1" s="279" t="s">
        <v>538</v>
      </c>
      <c r="J1" s="911" t="s">
        <v>795</v>
      </c>
    </row>
    <row r="2" spans="3:8" ht="12.75">
      <c r="C2" s="279" t="s">
        <v>633</v>
      </c>
      <c r="D2" s="279" t="s">
        <v>633</v>
      </c>
      <c r="E2" s="279" t="s">
        <v>633</v>
      </c>
      <c r="F2" s="279" t="s">
        <v>633</v>
      </c>
      <c r="G2" s="279" t="s">
        <v>633</v>
      </c>
      <c r="H2" s="279" t="s">
        <v>633</v>
      </c>
    </row>
    <row r="3" spans="1:9" ht="12.75">
      <c r="A3">
        <v>1</v>
      </c>
      <c r="B3" t="s">
        <v>345</v>
      </c>
      <c r="C3" s="1000"/>
      <c r="D3" s="223">
        <v>964.7</v>
      </c>
      <c r="E3" s="223">
        <v>1013.2</v>
      </c>
      <c r="F3" s="223">
        <v>1057.4</v>
      </c>
      <c r="G3" s="223">
        <v>1095.1</v>
      </c>
      <c r="H3" s="223">
        <v>1126.5</v>
      </c>
      <c r="I3" t="s">
        <v>611</v>
      </c>
    </row>
    <row r="4" spans="1:9" ht="12.75">
      <c r="A4">
        <v>2</v>
      </c>
      <c r="B4" t="s">
        <v>221</v>
      </c>
      <c r="C4" s="1000"/>
      <c r="D4" s="223">
        <v>120.8</v>
      </c>
      <c r="E4" s="223">
        <v>120.4</v>
      </c>
      <c r="F4" s="223">
        <v>120</v>
      </c>
      <c r="G4" s="223">
        <v>119.5</v>
      </c>
      <c r="H4" s="223">
        <v>119.3</v>
      </c>
      <c r="I4" t="s">
        <v>611</v>
      </c>
    </row>
    <row r="5" spans="1:9" ht="12.75">
      <c r="A5">
        <v>3</v>
      </c>
      <c r="B5" t="s">
        <v>196</v>
      </c>
      <c r="C5" s="1000"/>
      <c r="D5" s="223">
        <v>-72.3</v>
      </c>
      <c r="E5" s="223">
        <v>-76.2</v>
      </c>
      <c r="F5" s="223">
        <v>-82.2</v>
      </c>
      <c r="G5" s="223">
        <v>-88.2</v>
      </c>
      <c r="H5" s="223">
        <v>-94.2</v>
      </c>
      <c r="I5" t="s">
        <v>611</v>
      </c>
    </row>
    <row r="6" spans="1:9" ht="12.75">
      <c r="A6">
        <v>4</v>
      </c>
      <c r="B6" t="s">
        <v>132</v>
      </c>
      <c r="C6" s="1000"/>
      <c r="D6" s="223">
        <v>1013.2</v>
      </c>
      <c r="E6" s="223">
        <v>1057.4</v>
      </c>
      <c r="F6" s="223">
        <v>1095.1</v>
      </c>
      <c r="G6" s="223">
        <v>1126.5</v>
      </c>
      <c r="H6" s="223">
        <v>1151.6</v>
      </c>
      <c r="I6" t="s">
        <v>611</v>
      </c>
    </row>
    <row r="7" spans="1:8" ht="12.75">
      <c r="A7">
        <v>5</v>
      </c>
      <c r="B7" t="s">
        <v>666</v>
      </c>
      <c r="C7" s="1000"/>
      <c r="D7" s="223">
        <v>964.7</v>
      </c>
      <c r="E7" s="223"/>
      <c r="F7" s="223"/>
      <c r="G7" s="223"/>
      <c r="H7" s="223">
        <v>879.3</v>
      </c>
    </row>
    <row r="8" spans="1:8" ht="12.75">
      <c r="A8">
        <v>6</v>
      </c>
      <c r="B8" t="s">
        <v>627</v>
      </c>
      <c r="C8" s="1000"/>
      <c r="D8" s="223"/>
      <c r="E8" s="223"/>
      <c r="F8" s="223"/>
      <c r="G8" s="223"/>
      <c r="H8" s="223">
        <v>85.4</v>
      </c>
    </row>
    <row r="9" spans="1:8" ht="12.75">
      <c r="A9" s="916" t="s">
        <v>818</v>
      </c>
      <c r="C9" s="1000"/>
      <c r="D9" s="223"/>
      <c r="E9" s="223"/>
      <c r="F9" s="223"/>
      <c r="G9" s="223"/>
      <c r="H9" s="223"/>
    </row>
    <row r="10" spans="1:9" ht="12.75">
      <c r="A10">
        <v>7</v>
      </c>
      <c r="B10" t="s">
        <v>667</v>
      </c>
      <c r="C10" s="1000"/>
      <c r="D10" s="223">
        <v>72.5</v>
      </c>
      <c r="E10" s="223">
        <v>70</v>
      </c>
      <c r="F10" s="223">
        <v>68</v>
      </c>
      <c r="G10" s="223">
        <v>66.6</v>
      </c>
      <c r="H10" s="223">
        <v>66</v>
      </c>
      <c r="I10" t="s">
        <v>611</v>
      </c>
    </row>
    <row r="11" spans="1:9" ht="12.75">
      <c r="A11">
        <v>8</v>
      </c>
      <c r="B11" t="s">
        <v>668</v>
      </c>
      <c r="C11" s="1000"/>
      <c r="D11" s="223">
        <v>111.5</v>
      </c>
      <c r="E11" s="223">
        <v>111.1</v>
      </c>
      <c r="F11" s="223">
        <v>110.7</v>
      </c>
      <c r="G11" s="223">
        <v>110.2</v>
      </c>
      <c r="H11" s="223">
        <v>110</v>
      </c>
      <c r="I11" t="s">
        <v>611</v>
      </c>
    </row>
    <row r="12" spans="1:9" ht="12.75">
      <c r="A12">
        <v>9</v>
      </c>
      <c r="B12" t="s">
        <v>669</v>
      </c>
      <c r="C12" s="1000"/>
      <c r="D12" s="223">
        <v>16.2</v>
      </c>
      <c r="E12" s="223">
        <v>16.2</v>
      </c>
      <c r="F12" s="223">
        <v>16.2</v>
      </c>
      <c r="G12" s="223">
        <v>16.2</v>
      </c>
      <c r="H12" s="223">
        <v>16.2</v>
      </c>
      <c r="I12" t="s">
        <v>611</v>
      </c>
    </row>
    <row r="13" spans="1:9" ht="12.75">
      <c r="A13">
        <v>10</v>
      </c>
      <c r="B13" t="s">
        <v>73</v>
      </c>
      <c r="C13" s="1000"/>
      <c r="D13" s="223">
        <v>25.9</v>
      </c>
      <c r="E13" s="223">
        <v>26.7</v>
      </c>
      <c r="F13" s="223">
        <v>26.9</v>
      </c>
      <c r="G13" s="223">
        <v>27</v>
      </c>
      <c r="H13" s="223">
        <v>26.7</v>
      </c>
      <c r="I13" t="s">
        <v>611</v>
      </c>
    </row>
    <row r="14" spans="1:9" ht="12.75">
      <c r="A14">
        <v>11</v>
      </c>
      <c r="B14" t="s">
        <v>670</v>
      </c>
      <c r="C14" s="1000"/>
      <c r="D14" s="223">
        <v>1.2</v>
      </c>
      <c r="E14" s="223">
        <v>0.9</v>
      </c>
      <c r="F14" s="223">
        <v>1</v>
      </c>
      <c r="G14" s="223">
        <v>0.5</v>
      </c>
      <c r="H14" s="223">
        <v>0.6</v>
      </c>
      <c r="I14" t="s">
        <v>611</v>
      </c>
    </row>
    <row r="15" spans="1:9" ht="12.75">
      <c r="A15">
        <v>12</v>
      </c>
      <c r="B15" t="s">
        <v>671</v>
      </c>
      <c r="C15" s="1000"/>
      <c r="D15" s="223">
        <v>1.4</v>
      </c>
      <c r="E15" s="223">
        <v>1.5</v>
      </c>
      <c r="F15" s="223">
        <v>1.5</v>
      </c>
      <c r="G15" s="223">
        <v>1.6</v>
      </c>
      <c r="H15" s="223">
        <v>1.6</v>
      </c>
      <c r="I15" t="s">
        <v>611</v>
      </c>
    </row>
    <row r="16" spans="1:9" ht="12.75">
      <c r="A16">
        <v>13</v>
      </c>
      <c r="B16" t="s">
        <v>740</v>
      </c>
      <c r="C16" s="1000"/>
      <c r="D16" s="1250" t="s">
        <v>923</v>
      </c>
      <c r="E16" s="1250" t="s">
        <v>923</v>
      </c>
      <c r="F16" s="1250" t="s">
        <v>923</v>
      </c>
      <c r="G16" s="1250" t="s">
        <v>923</v>
      </c>
      <c r="H16" s="1250" t="s">
        <v>923</v>
      </c>
      <c r="I16" t="s">
        <v>611</v>
      </c>
    </row>
    <row r="17" spans="1:9" ht="12.75">
      <c r="A17">
        <v>14</v>
      </c>
      <c r="B17" t="s">
        <v>741</v>
      </c>
      <c r="C17" s="1000"/>
      <c r="D17" s="1250" t="s">
        <v>923</v>
      </c>
      <c r="E17" s="1250" t="s">
        <v>923</v>
      </c>
      <c r="F17" s="1250" t="s">
        <v>923</v>
      </c>
      <c r="G17" s="1250" t="s">
        <v>923</v>
      </c>
      <c r="H17" s="1250" t="s">
        <v>923</v>
      </c>
      <c r="I17" t="s">
        <v>611</v>
      </c>
    </row>
    <row r="18" spans="1:9" ht="12.75">
      <c r="A18">
        <v>15</v>
      </c>
      <c r="B18" t="s">
        <v>136</v>
      </c>
      <c r="C18" s="1000"/>
      <c r="D18" s="1250">
        <v>0.9</v>
      </c>
      <c r="E18" s="1250" t="s">
        <v>923</v>
      </c>
      <c r="F18" s="1250" t="s">
        <v>923</v>
      </c>
      <c r="G18" s="1250" t="s">
        <v>923</v>
      </c>
      <c r="H18" s="1250" t="s">
        <v>923</v>
      </c>
      <c r="I18" t="s">
        <v>611</v>
      </c>
    </row>
    <row r="19" spans="1:9" ht="12.75">
      <c r="A19">
        <v>16</v>
      </c>
      <c r="B19" t="s">
        <v>291</v>
      </c>
      <c r="C19" s="1251"/>
      <c r="D19" s="1252">
        <v>229.6</v>
      </c>
      <c r="E19" s="1252">
        <v>226.4</v>
      </c>
      <c r="F19" s="1252">
        <v>224.3</v>
      </c>
      <c r="G19" s="1252">
        <v>222.1</v>
      </c>
      <c r="H19" s="1252">
        <v>221.1</v>
      </c>
      <c r="I19" t="s">
        <v>611</v>
      </c>
    </row>
    <row r="20" spans="1:9" ht="12.75">
      <c r="A20">
        <v>17</v>
      </c>
      <c r="B20" t="s">
        <v>742</v>
      </c>
      <c r="C20" s="1000"/>
      <c r="D20" s="223">
        <v>223.5</v>
      </c>
      <c r="E20" s="223">
        <v>208.8</v>
      </c>
      <c r="F20" s="223">
        <v>196</v>
      </c>
      <c r="G20" s="223">
        <v>183.9</v>
      </c>
      <c r="H20" s="223">
        <v>173.5</v>
      </c>
      <c r="I20" t="s">
        <v>611</v>
      </c>
    </row>
    <row r="21" spans="1:8" ht="12.75">
      <c r="A21">
        <v>18</v>
      </c>
      <c r="B21" t="s">
        <v>137</v>
      </c>
      <c r="C21" s="1000"/>
      <c r="D21" s="223"/>
      <c r="E21" s="223"/>
      <c r="F21" s="223"/>
      <c r="G21" s="223"/>
      <c r="H21" s="223">
        <v>85.4</v>
      </c>
    </row>
    <row r="22" spans="1:8" ht="12.75">
      <c r="A22">
        <v>19</v>
      </c>
      <c r="B22" s="943" t="s">
        <v>743</v>
      </c>
      <c r="C22" s="1000"/>
      <c r="D22" s="223"/>
      <c r="E22" s="223"/>
      <c r="F22" s="223"/>
      <c r="G22" s="223"/>
      <c r="H22" s="1252">
        <v>1071.1</v>
      </c>
    </row>
    <row r="23" spans="1:8" ht="12.75">
      <c r="A23" s="916" t="s">
        <v>575</v>
      </c>
      <c r="C23" s="1000"/>
      <c r="D23" s="223"/>
      <c r="E23" s="223"/>
      <c r="F23" s="223"/>
      <c r="G23" s="223"/>
      <c r="H23" s="223"/>
    </row>
    <row r="24" spans="1:9" ht="12.75">
      <c r="A24">
        <v>20</v>
      </c>
      <c r="B24" t="s">
        <v>194</v>
      </c>
      <c r="C24" s="1000"/>
      <c r="D24" s="1253">
        <v>1</v>
      </c>
      <c r="E24" s="1253">
        <v>1.007</v>
      </c>
      <c r="F24" s="1253">
        <v>1.015</v>
      </c>
      <c r="G24" s="1253">
        <v>1.022</v>
      </c>
      <c r="H24" s="1253">
        <v>1.029</v>
      </c>
      <c r="I24" t="s">
        <v>611</v>
      </c>
    </row>
    <row r="25" spans="1:9" ht="12.75">
      <c r="A25">
        <v>21</v>
      </c>
      <c r="B25" t="s">
        <v>322</v>
      </c>
      <c r="C25" s="1000"/>
      <c r="D25" s="1253">
        <v>0.973</v>
      </c>
      <c r="E25" s="1253">
        <v>0.929</v>
      </c>
      <c r="F25" s="1253">
        <v>0.887</v>
      </c>
      <c r="G25" s="1253">
        <v>0.846</v>
      </c>
      <c r="H25" s="1253">
        <v>0.807</v>
      </c>
      <c r="I25" t="s">
        <v>611</v>
      </c>
    </row>
    <row r="26" spans="1:9" ht="12.75">
      <c r="A26">
        <v>22</v>
      </c>
      <c r="B26" t="s">
        <v>66</v>
      </c>
      <c r="C26" s="1251">
        <v>246.1</v>
      </c>
      <c r="D26" s="1252">
        <v>238.7</v>
      </c>
      <c r="E26" s="1252">
        <v>240.5</v>
      </c>
      <c r="F26" s="1252">
        <v>242.3</v>
      </c>
      <c r="G26" s="1252">
        <v>244</v>
      </c>
      <c r="H26" s="1252">
        <v>245.7</v>
      </c>
      <c r="I26" t="s">
        <v>611</v>
      </c>
    </row>
    <row r="27" spans="1:9" ht="12.75">
      <c r="A27">
        <v>23</v>
      </c>
      <c r="B27" t="s">
        <v>744</v>
      </c>
      <c r="C27" s="1000"/>
      <c r="D27" s="223">
        <v>2.4</v>
      </c>
      <c r="E27" s="223">
        <v>2.4</v>
      </c>
      <c r="F27" s="223">
        <v>2.4</v>
      </c>
      <c r="G27" s="223">
        <v>2.4</v>
      </c>
      <c r="H27" s="223">
        <v>2.4</v>
      </c>
      <c r="I27" t="s">
        <v>611</v>
      </c>
    </row>
    <row r="28" spans="1:9" ht="12.75">
      <c r="A28">
        <v>24</v>
      </c>
      <c r="B28" t="s">
        <v>128</v>
      </c>
      <c r="C28" s="1000"/>
      <c r="D28" s="223">
        <v>241.1</v>
      </c>
      <c r="E28" s="223">
        <v>242.9</v>
      </c>
      <c r="F28" s="223">
        <v>244.7</v>
      </c>
      <c r="G28" s="223">
        <v>246.4</v>
      </c>
      <c r="H28" s="223">
        <v>248.1</v>
      </c>
      <c r="I28" t="s">
        <v>611</v>
      </c>
    </row>
    <row r="29" spans="1:9" ht="12.75">
      <c r="A29">
        <v>25</v>
      </c>
      <c r="B29" t="s">
        <v>849</v>
      </c>
      <c r="C29" s="1000"/>
      <c r="D29" s="223">
        <v>234.7</v>
      </c>
      <c r="E29" s="223">
        <v>224</v>
      </c>
      <c r="F29" s="223">
        <v>213.8</v>
      </c>
      <c r="G29" s="223">
        <v>204</v>
      </c>
      <c r="H29" s="223">
        <v>194.6</v>
      </c>
      <c r="I29" t="s">
        <v>611</v>
      </c>
    </row>
    <row r="30" spans="1:8" ht="12.75">
      <c r="A30">
        <v>26</v>
      </c>
      <c r="B30" t="s">
        <v>743</v>
      </c>
      <c r="C30" s="1000"/>
      <c r="D30" s="223"/>
      <c r="E30" s="223"/>
      <c r="F30" s="223"/>
      <c r="G30" s="223"/>
      <c r="H30" s="1252">
        <v>1071.1</v>
      </c>
    </row>
    <row r="32" ht="12.75">
      <c r="A32" t="s">
        <v>780</v>
      </c>
    </row>
    <row r="33" ht="12.75">
      <c r="A33" s="911" t="s">
        <v>884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cp:lastPrinted>2012-12-03T11:12:22Z</cp:lastPrinted>
  <dcterms:created xsi:type="dcterms:W3CDTF">2009-07-13T08:35:25Z</dcterms:created>
  <dcterms:modified xsi:type="dcterms:W3CDTF">2012-12-03T11:12:23Z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