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060" windowWidth="1548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comments6.xml><?xml version="1.0" encoding="utf-8"?>
<comments xmlns="http://schemas.openxmlformats.org/spreadsheetml/2006/main">
  <authors>
    <author>George Moran</author>
  </authors>
  <commentList>
    <comment ref="E2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10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cost of HV/LV Tx</t>
        </r>
      </text>
    </comment>
    <comment ref="E12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41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I153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formula not dragged down!</t>
        </r>
      </text>
    </comment>
    <comment ref="E15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<sst xmlns="http://schemas.openxmlformats.org/spreadsheetml/2006/main" count="3068" uniqueCount="955">
  <si>
    <t>Uprating 33/11kV transformers with 40MVA units</t>
  </si>
  <si>
    <t xml:space="preserve">Stoke Bardolph - New GSP </t>
  </si>
  <si>
    <t>Spondon - Stanton - Heanor - Annesley 132kV reinforcement</t>
  </si>
  <si>
    <t>j</t>
  </si>
  <si>
    <t>132kV/EHV</t>
  </si>
  <si>
    <t>Weighted by units flowing</t>
  </si>
  <si>
    <t>Network length split</t>
  </si>
  <si>
    <t>Discount matrix</t>
  </si>
  <si>
    <t>Installation of a third 33kV circuit (3.5km) and a third transformer (12/24MVA).</t>
  </si>
  <si>
    <t>Middlefield/Barwell 33kV circuit reinforcement</t>
  </si>
  <si>
    <t>Uprating of 2 x 10/14.5MVA 33/11kV transformers with 12/24MVA units</t>
  </si>
  <si>
    <t>Brackley - Banbury group P2/6 SCO security</t>
  </si>
  <si>
    <t>Stony Stratford - Shenley Wood - Eldergate circuit reinforcement</t>
  </si>
  <si>
    <t>Installation of a new 40 MVA circuit from Stony Stratford to split the Shenley Wood / Eldergate circuits</t>
  </si>
  <si>
    <t>Syston 33/11kV reinforcement</t>
  </si>
  <si>
    <t>f</t>
  </si>
  <si>
    <t>Installation of capacitors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</si>
  <si>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</si>
  <si>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</si>
  <si>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</si>
  <si>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</si>
  <si>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</si>
  <si>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</si>
  <si>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</si>
  <si>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</si>
  <si>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</si>
  <si>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Uprating 33/11kV transformer and 11kV switchboard</t>
  </si>
  <si>
    <t>Discounts</t>
  </si>
  <si>
    <t>Installation of 2 x 40MVA 33kV circuits from Irthlingborough Grid to Rushden and 2 x 20/40MVA 33/11kV transformers at Rushden OR Installation of a 40MVA 33kV cable circuit from Wellingborough - Little Irchester to pick up existing Little Irchester - Rushden 33kV line and uprating Little Irchester.</t>
  </si>
  <si>
    <t>Salutation 33/6.6kV reinforcement</t>
  </si>
  <si>
    <t>Uprating 6.6kV network to 11kV to reduce demand on Salutation s/s.</t>
  </si>
  <si>
    <t>Northampton 132kV reinforcement</t>
  </si>
  <si>
    <t>Installation of fourth 132kV circuit from Grendon to Northampton. Reconfiguration of 132kV running arrangement.</t>
  </si>
  <si>
    <t>Northampton West - Kingsthorpe 33kV circuit reinforcement</t>
  </si>
  <si>
    <t>Installation of additional 33/11kV 10MVA transformer and associated switchgear</t>
  </si>
  <si>
    <t>Warwick - Campion Hills - Tee Princethorpe 33kV circuit Reinforcement</t>
  </si>
  <si>
    <t>Increasing 11kV interconnection and application of sequence scheme to transfer demand away.</t>
  </si>
  <si>
    <t>Watnall / Kimberley New Primary Substation</t>
  </si>
  <si>
    <t>Talbot Street 33/11kV reinforcement</t>
  </si>
  <si>
    <t>Installation of a third 132kV circuit. Costs split evenly across East and West. Wayleaves only in DPCR5, construction in DPCR6.</t>
  </si>
  <si>
    <t>Brackley Town 33/11kV reinforcement</t>
  </si>
  <si>
    <t>Millclose transformer and switchboard replacement</t>
  </si>
  <si>
    <t>Installation of a third 132/33kV transformer or alternatively a 132/11kV double wound transformer at Rugby BSP.</t>
  </si>
  <si>
    <t>Rushden 33/11kV reinforcement</t>
  </si>
  <si>
    <t>Options</t>
  </si>
  <si>
    <t>DCP071</t>
  </si>
  <si>
    <t>LV demand end user</t>
  </si>
  <si>
    <t>LV Sub demand or LV generation end user</t>
  </si>
  <si>
    <t>HV demand or LV Sub generation end user</t>
  </si>
  <si>
    <t xml:space="preserve">West Burton GSP - 3rd SGT </t>
  </si>
  <si>
    <t>Installation of a third SGT and a bus-section at West Burton GSP.</t>
  </si>
  <si>
    <t>Westville 33/11kV</t>
  </si>
  <si>
    <t>Installation of a new 33/11kV primary substation</t>
  </si>
  <si>
    <t>Ripley 33/11kV reinforcement</t>
  </si>
  <si>
    <t>Uprating transformers with 20/40 33/11kV units or 30MVA 132/11kV units.</t>
  </si>
  <si>
    <t>Index</t>
  </si>
  <si>
    <t>PB power numbers, if available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</si>
  <si>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</si>
  <si>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</si>
  <si>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</si>
  <si>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</si>
  <si>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</si>
  <si>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</si>
  <si>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</si>
  <si>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</si>
  <si>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</si>
  <si>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Installation of a new 33/11kV substation and 33kV single circuit to Hucknall (3km)</t>
  </si>
  <si>
    <t>Tamworth Grid 132/33kV Tamworth Town 132/33kV reinforcement</t>
  </si>
  <si>
    <t>Extension of 40MVA interconnector to be selectable to both sections of the 33kV switchboard at Tamworth Grid, connection to spare CB.</t>
  </si>
  <si>
    <t>Walton 33/11kV</t>
  </si>
  <si>
    <t>C</t>
  </si>
  <si>
    <t>Overlaying short lower rated sections of 33kV circuits increasing the rating to 40MVA.</t>
  </si>
  <si>
    <t>Installation of a third 33kV circuit (6.4km) and a third transformer (12/24MVA).</t>
  </si>
  <si>
    <t>Rugby - Harbury 132kV circuit (Warwick &amp; Harbury Security)</t>
  </si>
  <si>
    <t>Installation of a 132kV interconnector between Harbury and Rugby.</t>
  </si>
  <si>
    <t>Rugby 132/33kV reinforcement</t>
  </si>
  <si>
    <t>Dillotford Avenue 33/11kV Reinforcement</t>
  </si>
  <si>
    <t>Uprating 33kV circuits with 40MVA rated cables and uprating transformers</t>
  </si>
  <si>
    <t>Farndon Road 33kV switchgear reconfiguration</t>
  </si>
  <si>
    <t>g</t>
  </si>
  <si>
    <t>Switchgear reconfiguration</t>
  </si>
  <si>
    <t>Field Street T3 overload</t>
  </si>
  <si>
    <t>Spondon 33/11kV reinforcement</t>
  </si>
  <si>
    <t>EHV/HV</t>
  </si>
  <si>
    <t>Boundary category</t>
  </si>
  <si>
    <t>HV generation end user</t>
  </si>
  <si>
    <t>Boundary 0000</t>
  </si>
  <si>
    <t>Not used</t>
  </si>
  <si>
    <t>FBPQ capex - see "Calc MEAV"</t>
  </si>
  <si>
    <t>Basic Meter Operation Revenue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</si>
  <si>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</si>
  <si>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</si>
  <si>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</si>
  <si>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</si>
  <si>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</si>
  <si>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</si>
  <si>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</si>
  <si>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Drivers - LV, LV/HV, HV, EHV split</t>
  </si>
  <si>
    <t>No. of switchboards @ &gt;95% of F.L.</t>
  </si>
  <si>
    <t>Step 2. Idnetify costs inlcuded in price control revenues to be allocated by MEAV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</si>
  <si>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</si>
  <si>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</si>
  <si>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</si>
  <si>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</si>
  <si>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</si>
  <si>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Less transmission exit charges ?</t>
  </si>
  <si>
    <t>Pension deficit payments made by a related party and not charged in the regulatory accounts of the DNO</t>
  </si>
  <si>
    <t>IDNO connections</t>
  </si>
  <si>
    <t>#</t>
  </si>
  <si>
    <t>Connections (excluding IDNOs)</t>
  </si>
  <si>
    <t>THESE % ARE USED TO ALLOCATE PRICE CONTROL OPEX</t>
  </si>
  <si>
    <t>Total revenue</t>
  </si>
  <si>
    <t>Classification</t>
  </si>
  <si>
    <t>All</t>
  </si>
  <si>
    <t>All EHV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</si>
  <si>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</si>
  <si>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</si>
  <si>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</si>
  <si>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</si>
  <si>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</si>
  <si>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</si>
  <si>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</si>
  <si>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Other Costs from full activitty cost allocation</t>
  </si>
  <si>
    <t>Total activity cost - from RRP 1.3</t>
  </si>
  <si>
    <t>Unallocated costs = Total - costs allocated to network tiers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</si>
  <si>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</si>
  <si>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</si>
  <si>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</si>
  <si>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</si>
  <si>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</si>
  <si>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</si>
  <si>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</si>
  <si>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</si>
  <si>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</si>
  <si>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</si>
  <si>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</si>
  <si>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</si>
  <si>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</si>
  <si>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</si>
  <si>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</si>
  <si>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</si>
  <si>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</si>
  <si>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</si>
  <si>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</si>
  <si>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</si>
  <si>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</si>
  <si>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</si>
  <si>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</si>
  <si>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</si>
  <si>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</si>
  <si>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</si>
  <si>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</si>
  <si>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</si>
  <si>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</si>
  <si>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Connections spend minus customer contrbutions (from FBPQ LR1)</t>
  </si>
  <si>
    <t>FBPQ capex - see "Calc Net capex"</t>
  </si>
  <si>
    <t>Increase (reduction) in max demand</t>
  </si>
  <si>
    <t>Net change in max demand (not due to connections/disconnections)</t>
  </si>
  <si>
    <t>Connection/Reinfircement/Replacement Capex LV, HV, EHV, 132kV split</t>
  </si>
  <si>
    <t>From SEPD method A spreadsheet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</si>
  <si>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</si>
  <si>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</si>
  <si>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</si>
  <si>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</si>
  <si>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</si>
  <si>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Sum of MEAV of asset classified in voltage tier (as calculated below)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</si>
  <si>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</si>
  <si>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</si>
  <si>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</si>
  <si>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</si>
  <si>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</si>
  <si>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</si>
  <si>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</si>
  <si>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</si>
  <si>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</si>
  <si>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</si>
  <si>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</si>
  <si>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</si>
  <si>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</si>
  <si>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</si>
  <si>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</si>
  <si>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</si>
  <si>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</si>
  <si>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</si>
  <si>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</si>
  <si>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</si>
  <si>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</si>
  <si>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</si>
  <si>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</si>
  <si>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</si>
  <si>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</si>
  <si>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</si>
  <si>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</si>
  <si>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</si>
  <si>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</si>
  <si>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</si>
  <si>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</si>
  <si>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</si>
  <si>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</si>
  <si>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</si>
  <si>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</si>
  <si>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</si>
  <si>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</si>
  <si>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</si>
  <si>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</si>
  <si>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</si>
  <si>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</si>
  <si>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</si>
  <si>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</si>
  <si>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Costs allocated to netwrok tiers in RRP - from 2.2 amd 2.3</t>
  </si>
  <si>
    <t>Legacy Basic Meter Asset Provision Revenue</t>
  </si>
  <si>
    <t>Step 1 - extract total activity costs from cost report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</si>
  <si>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</si>
  <si>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</si>
  <si>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</si>
  <si>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</si>
  <si>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</si>
  <si>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</si>
  <si>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</si>
  <si>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</si>
  <si>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</si>
  <si>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</si>
  <si>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</si>
  <si>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</si>
  <si>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Step 6.   Adjust costs so that they are aligned with the definition of opex in the allowed price control revenues</t>
  </si>
  <si>
    <t>Operating costs (excl pensions)</t>
  </si>
  <si>
    <t>CAUTION - THIS PACK DOES NOT BALANCE</t>
  </si>
  <si>
    <t>Electricity Distribution Industry Activity Costs - individual DNO input</t>
  </si>
  <si>
    <t>6.6/11 kV Transformer (PM)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</si>
  <si>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</si>
  <si>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</si>
  <si>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</si>
  <si>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</si>
  <si>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</si>
  <si>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</si>
  <si>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</si>
  <si>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</si>
  <si>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Proportion of cost allocated to each network tier</t>
  </si>
  <si>
    <t>LV only</t>
  </si>
  <si>
    <t>HV only</t>
  </si>
  <si>
    <t>Net (gross directs - customer contributions directs and indirects)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</si>
  <si>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</si>
  <si>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</si>
  <si>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</si>
  <si>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</si>
  <si>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</si>
  <si>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</si>
  <si>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</si>
  <si>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</si>
  <si>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</si>
  <si>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</si>
  <si>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</si>
  <si>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</si>
  <si>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>PV of allowed items</t>
  </si>
  <si>
    <t>Allocation of allowed revenue to:-</t>
  </si>
  <si>
    <t>TOTAL PV OVER 5 YEARS</t>
  </si>
  <si>
    <t>All LV Tariffs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</si>
  <si>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</si>
  <si>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</si>
  <si>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</si>
  <si>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</si>
  <si>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</si>
  <si>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</si>
  <si>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</si>
  <si>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</si>
  <si>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</si>
  <si>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</si>
  <si>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</si>
  <si>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</si>
  <si>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</si>
  <si>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</si>
  <si>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</si>
  <si>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</si>
  <si>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</si>
  <si>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</si>
  <si>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</si>
  <si>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</si>
  <si>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</si>
  <si>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</si>
  <si>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</si>
  <si>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</si>
  <si>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</si>
  <si>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</si>
  <si>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</si>
  <si>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</si>
  <si>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</si>
  <si>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</si>
  <si>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</si>
  <si>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</si>
  <si>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</si>
  <si>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</si>
  <si>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</si>
  <si>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</si>
  <si>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</si>
  <si>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</si>
  <si>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</si>
  <si>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</si>
  <si>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</si>
  <si>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Pension deficit payments</t>
  </si>
  <si>
    <t>As at 31st March 2015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</si>
  <si>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</si>
  <si>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</si>
  <si>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</si>
  <si>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</si>
  <si>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</si>
  <si>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</si>
  <si>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</si>
  <si>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</si>
  <si>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</si>
  <si>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</si>
  <si>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</si>
  <si>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</si>
  <si>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</si>
  <si>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No. Substations</t>
  </si>
  <si>
    <t>Network Length</t>
  </si>
  <si>
    <t>No Cutomers</t>
  </si>
  <si>
    <t>132kV UG Cable (Non Pressurised)</t>
  </si>
  <si>
    <t>Costs extracted from RRP Tables</t>
  </si>
  <si>
    <t>Office Equipment</t>
  </si>
  <si>
    <t>Input data reconciliation check</t>
  </si>
  <si>
    <t>Compare results to current CDCM Method M with DCP096</t>
  </si>
  <si>
    <t>No discount</t>
  </si>
  <si>
    <t>LDNO LV: LV user</t>
  </si>
  <si>
    <t>LDNO HV: LV user</t>
  </si>
  <si>
    <t>LDNO HV: LV sub user</t>
  </si>
  <si>
    <t>LDNO HV: HV user</t>
  </si>
  <si>
    <t>LDNO discount using data in this model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</si>
  <si>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</si>
  <si>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</si>
  <si>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</si>
  <si>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</si>
  <si>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</si>
  <si>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</si>
  <si>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</si>
  <si>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</si>
  <si>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</si>
  <si>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</si>
  <si>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</si>
  <si>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</si>
  <si>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</si>
  <si>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</si>
  <si>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</si>
  <si>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</si>
  <si>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</si>
  <si>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</si>
  <si>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</si>
  <si>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Total reactive condition based replacement (£m)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</si>
  <si>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</si>
  <si>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</si>
  <si>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</si>
  <si>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</si>
  <si>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</si>
  <si>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</si>
  <si>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</si>
  <si>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</si>
  <si>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</si>
  <si>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</si>
  <si>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</si>
  <si>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</si>
  <si>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</si>
  <si>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</si>
  <si>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</si>
  <si>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</si>
  <si>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Transmission Exit Charges</t>
  </si>
  <si>
    <t>EHV only</t>
  </si>
  <si>
    <t>General reniforcement Capex 2005/06 -2014/15 (£m)</t>
  </si>
  <si>
    <t>Opex only on p/kWh throughput</t>
  </si>
  <si>
    <t>HV/LV</t>
  </si>
  <si>
    <t>Cash typical costs (excluding disallowed related party margins)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</si>
  <si>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</si>
  <si>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</si>
  <si>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</si>
  <si>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</si>
  <si>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</si>
  <si>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</si>
  <si>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20 kV Switchgear - Other (GM)</t>
  </si>
  <si>
    <t xml:space="preserve">Transformers  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</si>
  <si>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</si>
  <si>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</si>
  <si>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</si>
  <si>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</si>
  <si>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</si>
  <si>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</si>
  <si>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</si>
  <si>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</si>
  <si>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</si>
  <si>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</si>
  <si>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</si>
  <si>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</si>
  <si>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Demand trends</t>
  </si>
  <si>
    <t>Underground cables (kms)</t>
  </si>
  <si>
    <t>6.6/11kV UG Cable</t>
  </si>
  <si>
    <t>20kV UG Cable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</si>
  <si>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</si>
  <si>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</si>
  <si>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</si>
  <si>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</si>
  <si>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</si>
  <si>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</si>
  <si>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</si>
  <si>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</si>
  <si>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</si>
  <si>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</si>
  <si>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</si>
  <si>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</si>
  <si>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</si>
  <si>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</si>
  <si>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</si>
  <si>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</si>
  <si>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</si>
  <si>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</si>
  <si>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</si>
  <si>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</si>
  <si>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</si>
  <si>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</si>
  <si>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</si>
  <si>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</si>
  <si>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</si>
  <si>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</si>
  <si>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</si>
  <si>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</si>
  <si>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</si>
  <si>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Total Costs including Reallocations</t>
  </si>
  <si>
    <t>Customer Contributions (-ve)</t>
  </si>
  <si>
    <t>Total Costs less Capital Contributions</t>
  </si>
  <si>
    <t>Non-operational assets (-ve)</t>
  </si>
  <si>
    <t>Opening Balance DCPR4</t>
  </si>
  <si>
    <t>Units distributed at EHV+</t>
  </si>
  <si>
    <t>Units distributed offset by DSM</t>
  </si>
  <si>
    <t xml:space="preserve">Price impact on units distributed </t>
  </si>
  <si>
    <t xml:space="preserve">Economic downturn effect on units distributed 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</si>
  <si>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</si>
  <si>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</si>
  <si>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</si>
  <si>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</si>
  <si>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</si>
  <si>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</si>
  <si>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</si>
  <si>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</si>
  <si>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</si>
  <si>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Customer contributions total</t>
  </si>
  <si>
    <t>Allowed pass through items</t>
  </si>
  <si>
    <t>MEAV (£)</t>
  </si>
  <si>
    <t>MEAV by Voltage Level</t>
  </si>
  <si>
    <t>Total MEAV</t>
  </si>
  <si>
    <t>Opening asset value</t>
  </si>
  <si>
    <t>Allowed revenue</t>
  </si>
  <si>
    <t>Total capex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</si>
  <si>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</si>
  <si>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</si>
  <si>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</si>
  <si>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</si>
  <si>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</si>
  <si>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</si>
  <si>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</si>
  <si>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</si>
  <si>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</si>
  <si>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</si>
  <si>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</si>
  <si>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</si>
  <si>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</si>
  <si>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</si>
  <si>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</si>
  <si>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</si>
  <si>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</si>
  <si>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Non-load related (other)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</si>
  <si>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</si>
  <si>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</si>
  <si>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</si>
  <si>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</si>
  <si>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</si>
  <si>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</si>
  <si>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</si>
  <si>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</si>
  <si>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Sum of allocated and "unallocted" costs expressed per unit throughput (p/kWh)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</si>
  <si>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</si>
  <si>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</si>
  <si>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</si>
  <si>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</si>
  <si>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</si>
  <si>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</si>
  <si>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</si>
  <si>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</si>
  <si>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</si>
  <si>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</si>
  <si>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</si>
  <si>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</si>
  <si>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ESQCR</t>
  </si>
  <si>
    <t>Resilience</t>
  </si>
  <si>
    <t>Operational IT &amp; Telecoms - BT 21CN</t>
  </si>
  <si>
    <t>Actuals</t>
  </si>
  <si>
    <t>Forecast</t>
  </si>
  <si>
    <t>Operating costs = sum of allocated and unallocated multplied by 1 minus capitalised proprtion</t>
  </si>
  <si>
    <t>Base revenue</t>
  </si>
  <si>
    <t>Fault costs allocated to Opex and Capex</t>
  </si>
  <si>
    <t>Fault opex</t>
  </si>
  <si>
    <t>Fault capex</t>
  </si>
  <si>
    <t>Total Fault Costs</t>
  </si>
  <si>
    <t>Expenditure avoided due to DG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</si>
  <si>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</si>
  <si>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</si>
  <si>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</si>
  <si>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</si>
  <si>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</si>
  <si>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</si>
  <si>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31 March 2008</t>
  </si>
  <si>
    <t>Adjustments on T4.3</t>
  </si>
  <si>
    <t>31 March 2007</t>
  </si>
  <si>
    <t>31 March 2006</t>
  </si>
  <si>
    <t>20 kV RMU</t>
  </si>
  <si>
    <t>Boundary 132kV</t>
  </si>
  <si>
    <t>Boundary 132kV/EHV</t>
  </si>
  <si>
    <t>Boundary EHV</t>
  </si>
  <si>
    <t>Boundary HVplus</t>
  </si>
  <si>
    <t>Total cost of project</t>
  </si>
  <si>
    <t>Cost including indirects (absorbed costs in T2A)</t>
  </si>
  <si>
    <t>(£k)</t>
  </si>
  <si>
    <t>Direct activities</t>
  </si>
  <si>
    <t>Total CMLs (Excluding EE)</t>
  </si>
  <si>
    <t>CMLs</t>
  </si>
  <si>
    <t>Condition based</t>
  </si>
  <si>
    <t>Units Distributed</t>
  </si>
  <si>
    <t>GWh</t>
  </si>
  <si>
    <t>LOSSES</t>
  </si>
  <si>
    <t>Total cost of project in DPCR5 period</t>
  </si>
  <si>
    <t>6.6/11 kV Support</t>
  </si>
  <si>
    <t>20 kV Support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</si>
  <si>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</si>
  <si>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</si>
  <si>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</si>
  <si>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</si>
  <si>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</si>
  <si>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</si>
  <si>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</si>
  <si>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</si>
  <si>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</si>
  <si>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</si>
  <si>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</si>
  <si>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</si>
  <si>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</si>
  <si>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Voltage</t>
  </si>
  <si>
    <t xml:space="preserve">Limiting 
Factor
</t>
  </si>
  <si>
    <t>For Future years</t>
  </si>
  <si>
    <t xml:space="preserve">Customer Numbers 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</si>
  <si>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</si>
  <si>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</si>
  <si>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</si>
  <si>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</si>
  <si>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Control Centre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</si>
  <si>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</si>
  <si>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</si>
  <si>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</si>
  <si>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</si>
  <si>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</si>
  <si>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</si>
  <si>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</si>
  <si>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Bourne 33/11kV Transformer Replacement</t>
  </si>
  <si>
    <t>Distribution Circuit Length - Underground (km)</t>
  </si>
  <si>
    <t>Distribution Circuit Length - Total (km)</t>
  </si>
  <si>
    <t>System Mapping - Cartographical</t>
  </si>
  <si>
    <t>(Description)</t>
  </si>
  <si>
    <t>LR1 - Demand</t>
  </si>
  <si>
    <t>Demand Totals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</si>
  <si>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</si>
  <si>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</si>
  <si>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</si>
  <si>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</si>
  <si>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</si>
  <si>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</si>
  <si>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EHV (inc. 132kV)</t>
  </si>
  <si>
    <t>66 kV Transformer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</si>
  <si>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</si>
  <si>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</si>
  <si>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</si>
  <si>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</si>
  <si>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</si>
  <si>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</si>
  <si>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</si>
  <si>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</si>
  <si>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</si>
  <si>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</si>
  <si>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</si>
  <si>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</si>
  <si>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</si>
  <si>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</si>
  <si>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</si>
  <si>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132kV Pole</t>
  </si>
  <si>
    <t>132kV Tower</t>
  </si>
  <si>
    <t>From 2007/08 revenue summary</t>
  </si>
  <si>
    <t>132kV OHL Conductor (Pole Line)</t>
  </si>
  <si>
    <t>132kV OHL Conductor (Tower Line)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</si>
  <si>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</si>
  <si>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</si>
  <si>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</si>
  <si>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</si>
  <si>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</si>
  <si>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</si>
  <si>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</si>
  <si>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</si>
  <si>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Un-metered LV Services</t>
  </si>
  <si>
    <t>Road occupation costs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</si>
  <si>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</si>
  <si>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</si>
  <si>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</si>
  <si>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</si>
  <si>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</si>
  <si>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</si>
  <si>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</si>
  <si>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</si>
  <si>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</si>
  <si>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</si>
  <si>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</si>
  <si>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</si>
  <si>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</si>
  <si>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</si>
  <si>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Inspectns &amp; Maint. (exc. Tree Cutting)</t>
  </si>
  <si>
    <t>Tree Cutting</t>
  </si>
  <si>
    <t>Fines and penalties</t>
  </si>
  <si>
    <t>Underground Cables</t>
  </si>
  <si>
    <t>Submarine</t>
  </si>
  <si>
    <t>Environment</t>
  </si>
  <si>
    <t>Visual Amenity</t>
  </si>
  <si>
    <t xml:space="preserve">Coventry - Rugby 132kV cct reinforcement </t>
  </si>
  <si>
    <t>Transfer of Hinckley to Enderby GSP using the disconnected CA line. Refurbishment of CA1&amp;2.</t>
  </si>
  <si>
    <t>Coventry South 33/11kV Reinforcement</t>
  </si>
  <si>
    <t>% change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</si>
  <si>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</si>
  <si>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</si>
  <si>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</si>
  <si>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</si>
  <si>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</si>
  <si>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Expenditure avoided due to DSM</t>
  </si>
  <si>
    <t>Load Related New Connections &amp; Reinforcement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</si>
  <si>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</si>
  <si>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</si>
  <si>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</si>
  <si>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</si>
  <si>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</si>
  <si>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</si>
  <si>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</si>
  <si>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</si>
  <si>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</si>
  <si>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</si>
  <si>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</si>
  <si>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</si>
  <si>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</si>
  <si>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</si>
  <si>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</si>
  <si>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</si>
  <si>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</si>
  <si>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</si>
  <si>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</si>
  <si>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</si>
  <si>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</si>
  <si>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</si>
  <si>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</si>
  <si>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</si>
  <si>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</si>
  <si>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</si>
  <si>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</si>
  <si>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Sale of various small elements of surplus Land &amp; Buildings on sites</t>
  </si>
  <si>
    <t>TOTAL</t>
  </si>
  <si>
    <t>0</t>
  </si>
  <si>
    <t>Millions</t>
  </si>
  <si>
    <t>Total CIs (Excluding EE)</t>
  </si>
  <si>
    <t>CIs</t>
  </si>
  <si>
    <t>Distribution Circuit Length - Overhead (km)</t>
  </si>
  <si>
    <t>Circuit km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</si>
  <si>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</si>
  <si>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</si>
  <si>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</si>
  <si>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</si>
  <si>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</si>
  <si>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</si>
  <si>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</si>
  <si>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</si>
  <si>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</si>
  <si>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</si>
  <si>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Installation of new 10km circuit from Great Hale to Billingborough and additional transformer at Billingborough</t>
  </si>
  <si>
    <t>Kibworth 33/11kV transformer replacement</t>
  </si>
  <si>
    <t>Uprating 33/11kV transformers with 24MVA units.</t>
  </si>
  <si>
    <t>Leicester East - Salutation - Thurmaston 33kV circuit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</si>
  <si>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</si>
  <si>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</si>
  <si>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</si>
  <si>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</si>
  <si>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</si>
  <si>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</si>
  <si>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</si>
  <si>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</si>
  <si>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</si>
  <si>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</si>
  <si>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Non-fault Related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</si>
  <si>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</si>
  <si>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</si>
  <si>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</si>
  <si>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</si>
  <si>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</si>
  <si>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</si>
  <si>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</si>
  <si>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</si>
  <si>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</si>
  <si>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</si>
  <si>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</si>
  <si>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</si>
  <si>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</si>
  <si>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</si>
  <si>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66 kV AuxiliaryTransfomer</t>
  </si>
  <si>
    <t>132kV Network</t>
  </si>
  <si>
    <t>Sole use</t>
  </si>
  <si>
    <t>Shared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</si>
  <si>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</si>
  <si>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</si>
  <si>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</si>
  <si>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</si>
  <si>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</si>
  <si>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</si>
  <si>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Network levels provided or bypassed by the DNO</t>
  </si>
  <si>
    <t>Network levels bypassed by the DNO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</si>
  <si>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</si>
  <si>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</si>
  <si>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</si>
  <si>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</si>
  <si>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</si>
  <si>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</si>
  <si>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</si>
  <si>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</si>
  <si>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</si>
  <si>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Caythorpe 33/11kV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</si>
  <si>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</si>
  <si>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</si>
  <si>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</si>
  <si>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</si>
  <si>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</si>
  <si>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</si>
  <si>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</si>
  <si>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</si>
  <si>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</si>
  <si>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</si>
  <si>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</si>
  <si>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Installation of 40MVA 33kV circuits, transformers and switchgear or installation of a 33/11kV 24MVA primary at Binley.</t>
  </si>
  <si>
    <t>Installation of new 33/11kV substation in vicinity of BSP site (5km double circuit 33kV cable assumed)</t>
  </si>
  <si>
    <t>Nott'm East - Colwick 33kV cct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</si>
  <si>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</si>
  <si>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</si>
  <si>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</si>
  <si>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</si>
  <si>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</si>
  <si>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</si>
  <si>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</si>
  <si>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</si>
  <si>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Inspections &amp; Maintenance</t>
  </si>
  <si>
    <t>Fault Costs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</si>
  <si>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</si>
  <si>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</si>
  <si>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</si>
  <si>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</si>
  <si>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</si>
  <si>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</si>
  <si>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</si>
  <si>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</si>
  <si>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</si>
  <si>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</si>
  <si>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</si>
  <si>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</si>
  <si>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</si>
  <si>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</si>
  <si>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</si>
  <si>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</si>
  <si>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</si>
  <si>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Sliding scale additional income</t>
  </si>
  <si>
    <t>ANALYSIS OF ASSET DISPOSALS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</si>
  <si>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</si>
  <si>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</si>
  <si>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</si>
  <si>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</si>
  <si>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</si>
  <si>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</si>
  <si>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Annesley - Hucknall 33kV</t>
  </si>
  <si>
    <t>33kV</t>
  </si>
  <si>
    <t>b</t>
  </si>
  <si>
    <t>Uprating 33kV double circuit line to 40MVA and interconnection of cables via Linby (approx 10km of cable)</t>
  </si>
  <si>
    <t>Bainton - new GSP</t>
  </si>
  <si>
    <t>a</t>
  </si>
  <si>
    <t>Reconfiguration of the 132kV circuit between Bourne and Stamford</t>
  </si>
  <si>
    <t>Berkswell - Coventry South / Coventry West 132kV</t>
  </si>
  <si>
    <t>Installation of a third circuit from Berkswell.  Alternatively for SCO only, re-energisation of Coventry South - Whitley 132kV circuits</t>
  </si>
  <si>
    <t>Billingborough 33/11kV Substation</t>
  </si>
  <si>
    <t>c</t>
  </si>
  <si>
    <t>Uprating existing 132/33kV transformer with 120MVA units at Heanor. Looping the 132kV circuit (3km) into Stanton with two new CBs.</t>
  </si>
  <si>
    <t>Kenilworth 33/11kV Reinforcement</t>
  </si>
  <si>
    <t>Installation of a new 33/11kV primary (North Kenilworth) to offload Kenilworth.</t>
  </si>
  <si>
    <t>Installation of third and fourth circuits to remove tee-off radial circuits.</t>
  </si>
  <si>
    <t>Lincoln 132/33kV reinforcement</t>
  </si>
  <si>
    <t>Installation of new third 132/33kV 90MVA transformer</t>
  </si>
  <si>
    <t>Lincoln BSP</t>
  </si>
  <si>
    <t>Creation of 132kV cross bay</t>
  </si>
  <si>
    <t>Mackworth 33/11kV reinforcement</t>
  </si>
  <si>
    <t xml:space="preserve">Number of Substations and Switching Stations 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</si>
  <si>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</si>
  <si>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</si>
  <si>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</si>
  <si>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</si>
  <si>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</si>
  <si>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</si>
  <si>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</si>
  <si>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</si>
  <si>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</si>
  <si>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</si>
  <si>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</si>
  <si>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</si>
  <si>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</si>
  <si>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</si>
  <si>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</si>
  <si>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</si>
  <si>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</si>
  <si>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Expenditure replacing Pressure Assisted cables</t>
  </si>
  <si>
    <t>Undergrounding in National Parks / AONB - direct costs</t>
  </si>
  <si>
    <t>EHV/132kV</t>
  </si>
  <si>
    <t>Installation of Brackley local primary or strapping 33kV OHL circuits from Brackley Grid together. Installation of a new 33kV circuit (3km), uprating the existing transformers with 2 x 20/40MVA units and installation of a 2000A switchboard</t>
  </si>
  <si>
    <t>Bradwell Abbey 132/33kV reinforcement</t>
  </si>
  <si>
    <t>Uprating transformer T1 (10.85MVA) with 24MVA transformer</t>
  </si>
  <si>
    <t xml:space="preserve">Clifton 33/11kV reinforcement </t>
  </si>
  <si>
    <t>Installation of a third 33kV circuit and a third 33/11kV 24MVA transformer</t>
  </si>
  <si>
    <t>Coalville 33/11kV transformer change</t>
  </si>
  <si>
    <t>Uprating transformers for larger units.</t>
  </si>
  <si>
    <t>Colwick 33/11kV reinforcement</t>
  </si>
  <si>
    <t>Installation of a third 33kV circuit from Notts East and a third 33/11kV 40MVA transformer. Reconfiguration of Cotgrave 33kV interconnection.</t>
  </si>
  <si>
    <t>Copsewood 33/11kv reinforcement</t>
  </si>
  <si>
    <t xml:space="preserve">Installation of a 132/11kV primary at Wellingborough Grid to transfer demand off Cannon Street.  </t>
  </si>
  <si>
    <t>Installation of 33kV and 11kV switchgear to accommodate all the potential 33kV circuit outages</t>
  </si>
  <si>
    <t>Nottingham North BSP</t>
  </si>
  <si>
    <t>Installation of two new 40MVA cable circuits to tee point to create two direct circuits to Colwick (3km)</t>
  </si>
  <si>
    <t>Olney 33/11kV reinforcement</t>
  </si>
  <si>
    <t>Uprating the existing 33/11kV transformer with 24MVA units and reinforcement of 33kV circuits</t>
  </si>
  <si>
    <t>Raunds 33/11kV reinforcement</t>
  </si>
  <si>
    <t>2012/13</t>
  </si>
  <si>
    <t>2013/14</t>
  </si>
  <si>
    <t>2014/15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</si>
  <si>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</si>
  <si>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</si>
  <si>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</si>
  <si>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</si>
  <si>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</si>
  <si>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</si>
  <si>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</si>
  <si>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</si>
  <si>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</si>
  <si>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</si>
  <si>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</si>
  <si>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</si>
  <si>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</si>
  <si>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</si>
  <si>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</si>
  <si>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</si>
  <si>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</si>
  <si>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</si>
  <si>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</si>
  <si>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</si>
  <si>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</si>
  <si>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</si>
  <si>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</si>
  <si>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Ofgem licence fee</t>
  </si>
  <si>
    <t>Shetland Balancing Costs (SHEPD only)</t>
  </si>
  <si>
    <t>QUALITY OF SERVICE</t>
  </si>
  <si>
    <t>Installation of auto opening scheme on the T2-T3 bus section for the loss of T1 or T2, or transfer load to Kettering North at 11kV or Uprate transformer T3.</t>
  </si>
  <si>
    <t>Fiskerton 33/11kV reinforcement</t>
  </si>
  <si>
    <t xml:space="preserve">Uprating existing transformers with 2 x 12/24 MVA units. </t>
  </si>
  <si>
    <t>Gresley - Moira - Ashby - Woodville - Willesley ccts</t>
  </si>
  <si>
    <t>Installation of additional circuits from Gresley &amp; splitting existing circuits.</t>
  </si>
  <si>
    <t>Hatton 33/11kV reinforcement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</si>
  <si>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</si>
  <si>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</si>
  <si>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</si>
  <si>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</si>
  <si>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</si>
  <si>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</si>
  <si>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</si>
  <si>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</si>
  <si>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</si>
  <si>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</si>
  <si>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</si>
  <si>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</si>
  <si>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</si>
  <si>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Network</t>
  </si>
  <si>
    <t>Land and Building</t>
  </si>
  <si>
    <t>Uprating of existing transformers with 20/40 33/11kV units and replacement of circuits 2 x 85m</t>
  </si>
  <si>
    <t>Heanor BSP reinforcement</t>
  </si>
  <si>
    <t>Looping 132kV circuit through Heanor, installation of 2 x 132kV circuit breakers at Heanor</t>
  </si>
  <si>
    <t>Installation of new GSP to support Ratcliffe picking up Nottingham East on new 132kV cable and new OHL for new BSP to pick up Notts North.</t>
  </si>
  <si>
    <t>Stony Stratford - Buckingham - Wicken - Towcester circuit reinforcement</t>
  </si>
  <si>
    <t>Reinforcement/rebuild/reconfiguration of the network required to increase the thermal rating.</t>
  </si>
  <si>
    <t>No. Subs</t>
  </si>
  <si>
    <t>Miscellaneous costs (included in table 2.2 costs)</t>
  </si>
  <si>
    <t>Additional employer pension contributions (+ve)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</si>
  <si>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</si>
  <si>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</si>
  <si>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</si>
  <si>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</si>
  <si>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</si>
  <si>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</si>
  <si>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</si>
  <si>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</si>
  <si>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</si>
  <si>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</si>
  <si>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</si>
  <si>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</si>
  <si>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</si>
  <si>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</si>
  <si>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</si>
  <si>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</si>
  <si>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Milton Keynes additional BSP - acquire site and 132kV route</t>
  </si>
  <si>
    <t>Phase 1 - Acquisition of a reserved BSP site on the north eastern edge of the city and a route to an appropriate GSP.</t>
  </si>
  <si>
    <t>Mountsorrel / Syston 33kV ccts</t>
  </si>
  <si>
    <t>Extension of Syston - Mountsorrel 33kV circuit into mid point at Mountsorrel and Syston, installation of RMU and changeover scheme at each end</t>
  </si>
  <si>
    <t>Normanton 33/11kV reinforcement</t>
  </si>
  <si>
    <t>Uprating 33/11kV transformers with 40MVA units.</t>
  </si>
  <si>
    <t>Installation of a third grid transformer and third section of switchboard</t>
  </si>
  <si>
    <t>Braunstone, Jupiter &amp; Groby Road 33/11kV reinforcement</t>
  </si>
  <si>
    <t>Installation of new 40MVA 33/11kV primary on Hinckley Rd reserve site. Modification of 11kV circuits to enable load transfers.</t>
  </si>
  <si>
    <t>Burton 132/33kV transformer change</t>
  </si>
  <si>
    <t>Uprating the existing 132/33kV transformers with 2 x 90MVA units.</t>
  </si>
  <si>
    <t>Cannon Street 33/11kV reinforcement</t>
  </si>
  <si>
    <t>Installation of third 33/11kV 24MVA transformer and new 33kV circuit to Nottingham (4km) BSP</t>
  </si>
  <si>
    <t>Installation of new 33/11kV substation and 33kV circuits</t>
  </si>
  <si>
    <t>Wellesbourne 33/11kV New Primary Substation</t>
  </si>
  <si>
    <t>Following installation of Warwick West, decommissioning Banbury Rd and extending existing dual 33kV circuits to a reserve site at Wellesbourne.</t>
  </si>
  <si>
    <t>West Burton - Lincoln 132kV DC OHL</t>
  </si>
  <si>
    <t>Uprating 132kV overhead line</t>
  </si>
  <si>
    <t>Installation of a new 40MVA 33kV circuit from Irthlingborough Grid. Uprate transformer with a 12/24MVA unit and install a 2nd 12/24MVA unit.</t>
  </si>
  <si>
    <t>Raynesway 33/11kV Substation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</si>
  <si>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</si>
  <si>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</si>
  <si>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</si>
  <si>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</si>
  <si>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</si>
  <si>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</si>
  <si>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</si>
  <si>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</si>
  <si>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</si>
  <si>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http://www.ofgem.gov.uk/Markets/RetMkts/Metrng/Metering/Documents1/9745-5405.pdf</t>
  </si>
  <si>
    <t>Wigston Magna 33/11kV reinforcement</t>
  </si>
  <si>
    <t>Installation of a third 33kV circuit and third 33/11kV 40MVA transformer.</t>
  </si>
  <si>
    <t>Willington - Winster - Uttoxeter 132kV reinforcement</t>
  </si>
  <si>
    <t>Unstitching tee (by cabling to Willington GSP) and refurbishment of both circuits (23km Uttoxeter &amp; 35km Winster).</t>
  </si>
  <si>
    <t>Winster - Longcliffe</t>
  </si>
  <si>
    <t>Installation of new single 40MVA, 33kV circuit (4km ohl)</t>
  </si>
  <si>
    <t/>
  </si>
  <si>
    <t>-</t>
  </si>
  <si>
    <t>Uprating the existing 2 x 24MVA transformers with 40MVA units and changing the 11kV switchboard.</t>
  </si>
  <si>
    <t>Hawton SCO Reinforcement and BSP reinforcement</t>
  </si>
  <si>
    <t>Replacement of circuit breakers at Staythorpe, additional transformer capacity and 132kV busbars.</t>
  </si>
  <si>
    <t>Heanor 33/11kV  reinforcement</t>
  </si>
  <si>
    <t>Installation of a third transformer (20/40MVA).  Co-ordination with 11kV and 33kV switchgear replacements.</t>
  </si>
  <si>
    <t>Stamford 132/33/11kV reinforcement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</si>
</sst>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%"/>
    <numFmt numFmtId="171" formatCode="0.0000"/>
    <numFmt numFmtId="172" formatCode="0.000"/>
    <numFmt numFmtId="173" formatCode="0.0"/>
    <numFmt numFmtId="174" formatCode="#,##0_);[Red]\(#,##0\);\-"/>
    <numFmt numFmtId="175" formatCode="#,##0.000;[Red]\-#,##0.000;"/>
    <numFmt numFmtId="176" formatCode="#,##0.000;[Red]\-#,##0.000;\-"/>
    <numFmt numFmtId="177" formatCode="_(* #,##0_);_(* \(#,##0\);_(* &quot;-&quot;??_);_(@_)"/>
    <numFmt numFmtId="178" formatCode="#,##0;[Red]\-#,##0;\-"/>
    <numFmt numFmtId="179" formatCode="_-* #,##0.000_-;\-* #,##0.000_-;_-* &quot;-&quot;??_-;_-@_-"/>
    <numFmt numFmtId="180" formatCode="#,##0.0_);[Red]\(#,##0.0\);\-"/>
    <numFmt numFmtId="181" formatCode="0.00000%"/>
    <numFmt numFmtId="182" formatCode="0;\(0\)"/>
    <numFmt numFmtId="183" formatCode="0;[Red]\(0\);\-"/>
    <numFmt numFmtId="184" formatCode="_(* #,##0.0_);_(* \(#,##0.0\);_(* &quot;-&quot;?_);_(@_)"/>
    <numFmt numFmtId="185" formatCode="0.000;\-0.000;"/>
    <numFmt numFmtId="186" formatCode="_(??0.0%_);[Red]\(??0.0%\);"/>
    <numFmt numFmtId="187" formatCode="#,##0.0"/>
    <numFmt numFmtId="188" formatCode="??0.0%;[Red]\(??0.0%\);"/>
  </numFmts>
  <fonts count="8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color indexed="12"/>
      <name val="CG Omeg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name val="Verdana"/>
      <family val="2"/>
    </font>
    <font>
      <sz val="11"/>
      <color indexed="30"/>
      <name val="CG Omega"/>
      <family val="2"/>
    </font>
    <font>
      <sz val="9"/>
      <name val="Arial"/>
      <family val="2"/>
    </font>
    <font>
      <sz val="8"/>
      <name val="CG Omega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  <fill>
      <patternFill patternType="solid">
        <fgColor indexed="46"/>
        <bgColor indexed="64"/>
      </patternFill>
    </fill>
    <fill>
      <patternFill patternType="lightGrid">
        <fgColor indexed="46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5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0" fillId="0" borderId="11" xfId="0" applyBorder="1" applyAlignment="1">
      <alignment/>
    </xf>
    <xf numFmtId="9" fontId="0" fillId="0" borderId="12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3" xfId="7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12" xfId="0" applyNumberForma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9" fontId="0" fillId="0" borderId="12" xfId="71" applyFont="1" applyBorder="1" applyAlignment="1">
      <alignment vertical="top"/>
    </xf>
    <xf numFmtId="10" fontId="0" fillId="0" borderId="13" xfId="71" applyNumberFormat="1" applyFont="1" applyBorder="1" applyAlignment="1">
      <alignment vertical="top"/>
    </xf>
    <xf numFmtId="0" fontId="0" fillId="0" borderId="0" xfId="0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35" borderId="11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1" fontId="11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Border="1" applyAlignment="1" applyProtection="1">
      <alignment/>
      <protection/>
    </xf>
    <xf numFmtId="0" fontId="10" fillId="0" borderId="0" xfId="65" applyFont="1" applyFill="1" applyBorder="1" applyProtection="1">
      <alignment/>
      <protection/>
    </xf>
    <xf numFmtId="0" fontId="11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10" fillId="0" borderId="0" xfId="65" applyNumberFormat="1" applyFont="1" applyFill="1" applyBorder="1" applyAlignment="1" applyProtection="1">
      <alignment wrapText="1"/>
      <protection/>
    </xf>
    <xf numFmtId="1" fontId="11" fillId="0" borderId="0" xfId="65" applyNumberFormat="1" applyFont="1" applyFill="1" applyBorder="1" applyAlignment="1" applyProtection="1">
      <alignment horizontal="center" wrapText="1"/>
      <protection/>
    </xf>
    <xf numFmtId="1" fontId="11" fillId="0" borderId="0" xfId="65" applyNumberFormat="1" applyFont="1" applyFill="1" applyBorder="1" applyAlignment="1" applyProtection="1">
      <alignment horizontal="centerContinuous" wrapText="1"/>
      <protection/>
    </xf>
    <xf numFmtId="1" fontId="11" fillId="0" borderId="0" xfId="65" applyNumberFormat="1" applyFont="1" applyFill="1" applyBorder="1" applyAlignment="1" applyProtection="1">
      <alignment horizontal="center" vertical="center" wrapText="1"/>
      <protection/>
    </xf>
    <xf numFmtId="1" fontId="10" fillId="0" borderId="0" xfId="65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65" applyFont="1" applyFill="1" applyBorder="1" applyAlignment="1" applyProtection="1">
      <alignment horizontal="center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/>
    </xf>
    <xf numFmtId="173" fontId="10" fillId="0" borderId="0" xfId="66" applyNumberFormat="1" applyFont="1" applyFill="1" applyBorder="1" applyAlignment="1" applyProtection="1">
      <alignment horizontal="center" vertical="center"/>
      <protection/>
    </xf>
    <xf numFmtId="1" fontId="11" fillId="0" borderId="0" xfId="65" applyNumberFormat="1" applyFont="1" applyFill="1" applyBorder="1" applyProtection="1">
      <alignment/>
      <protection/>
    </xf>
    <xf numFmtId="174" fontId="12" fillId="0" borderId="0" xfId="65" applyNumberFormat="1" applyFont="1" applyFill="1" applyBorder="1" applyProtection="1">
      <alignment/>
      <protection/>
    </xf>
    <xf numFmtId="0" fontId="10" fillId="0" borderId="0" xfId="62" applyFont="1" applyFill="1" applyBorder="1" applyAlignment="1" applyProtection="1">
      <alignment/>
      <protection/>
    </xf>
    <xf numFmtId="1" fontId="10" fillId="0" borderId="0" xfId="66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5" xfId="0" applyNumberFormat="1" applyBorder="1" applyAlignment="1">
      <alignment/>
    </xf>
    <xf numFmtId="9" fontId="0" fillId="0" borderId="11" xfId="71" applyFont="1" applyBorder="1" applyAlignment="1">
      <alignment/>
    </xf>
    <xf numFmtId="10" fontId="0" fillId="0" borderId="14" xfId="0" applyNumberFormat="1" applyBorder="1" applyAlignment="1">
      <alignment vertical="top"/>
    </xf>
    <xf numFmtId="9" fontId="0" fillId="0" borderId="17" xfId="7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10" fontId="0" fillId="0" borderId="19" xfId="71" applyNumberFormat="1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0" fontId="14" fillId="0" borderId="17" xfId="71" applyNumberFormat="1" applyFont="1" applyBorder="1" applyAlignment="1" applyProtection="1">
      <alignment horizontal="center" vertical="center" wrapText="1"/>
      <protection/>
    </xf>
    <xf numFmtId="173" fontId="14" fillId="0" borderId="0" xfId="68" applyNumberFormat="1" applyFont="1" applyBorder="1" applyAlignment="1" applyProtection="1">
      <alignment horizontal="center" vertical="center" wrapText="1"/>
      <protection/>
    </xf>
    <xf numFmtId="173" fontId="14" fillId="0" borderId="18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4" fillId="36" borderId="25" xfId="68" applyFont="1" applyFill="1" applyBorder="1" applyAlignment="1">
      <alignment horizontal="left" vertical="center" wrapText="1"/>
      <protection/>
    </xf>
    <xf numFmtId="170" fontId="14" fillId="0" borderId="17" xfId="71" applyNumberFormat="1" applyFont="1" applyFill="1" applyBorder="1" applyAlignment="1" applyProtection="1">
      <alignment horizontal="center" vertical="center" wrapText="1"/>
      <protection/>
    </xf>
    <xf numFmtId="173" fontId="14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37" borderId="25" xfId="68" applyFont="1" applyFill="1" applyBorder="1" applyAlignment="1">
      <alignment horizontal="left" vertical="center" wrapText="1"/>
      <protection/>
    </xf>
    <xf numFmtId="0" fontId="14" fillId="0" borderId="12" xfId="68" applyFont="1" applyBorder="1" applyAlignment="1">
      <alignment horizontal="left" vertical="center" wrapText="1"/>
      <protection/>
    </xf>
    <xf numFmtId="170" fontId="14" fillId="0" borderId="17" xfId="71" applyNumberFormat="1" applyFont="1" applyBorder="1" applyAlignment="1">
      <alignment horizontal="center" vertical="center" wrapText="1"/>
    </xf>
    <xf numFmtId="0" fontId="14" fillId="0" borderId="10" xfId="68" applyFont="1" applyBorder="1" applyAlignment="1">
      <alignment horizontal="left" vertical="center" wrapText="1"/>
      <protection/>
    </xf>
    <xf numFmtId="0" fontId="14" fillId="0" borderId="13" xfId="68" applyFont="1" applyBorder="1" applyAlignment="1">
      <alignment horizontal="left" vertical="center" wrapText="1"/>
      <protection/>
    </xf>
    <xf numFmtId="173" fontId="19" fillId="0" borderId="0" xfId="68" applyNumberFormat="1" applyFont="1" applyFill="1" applyBorder="1" applyAlignment="1" applyProtection="1">
      <alignment horizontal="left" vertical="center" wrapText="1"/>
      <protection/>
    </xf>
    <xf numFmtId="170" fontId="19" fillId="0" borderId="0" xfId="71" applyNumberFormat="1" applyFont="1" applyFill="1" applyBorder="1" applyAlignment="1" applyProtection="1">
      <alignment horizontal="center" vertical="center" wrapText="1"/>
      <protection/>
    </xf>
    <xf numFmtId="173" fontId="19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14" fillId="0" borderId="14" xfId="68" applyFont="1" applyBorder="1" applyAlignment="1">
      <alignment horizontal="center" vertical="center" wrapText="1"/>
      <protection/>
    </xf>
    <xf numFmtId="0" fontId="14" fillId="0" borderId="17" xfId="68" applyFont="1" applyBorder="1" applyAlignment="1">
      <alignment horizontal="center" vertical="center" wrapText="1"/>
      <protection/>
    </xf>
    <xf numFmtId="173" fontId="14" fillId="0" borderId="10" xfId="68" applyNumberFormat="1" applyFont="1" applyBorder="1" applyAlignment="1" applyProtection="1">
      <alignment horizontal="left" vertical="center" wrapText="1"/>
      <protection/>
    </xf>
    <xf numFmtId="173" fontId="14" fillId="0" borderId="12" xfId="68" applyNumberFormat="1" applyFont="1" applyBorder="1" applyAlignment="1" applyProtection="1">
      <alignment horizontal="left" vertical="center" wrapText="1"/>
      <protection/>
    </xf>
    <xf numFmtId="173" fontId="14" fillId="0" borderId="12" xfId="68" applyNumberFormat="1" applyFont="1" applyFill="1" applyBorder="1" applyAlignment="1" applyProtection="1">
      <alignment horizontal="left" vertical="center" wrapText="1"/>
      <protection/>
    </xf>
    <xf numFmtId="0" fontId="15" fillId="0" borderId="11" xfId="68" applyFont="1" applyBorder="1" applyAlignment="1">
      <alignment horizontal="left" vertical="center" wrapText="1"/>
      <protection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7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173" fontId="14" fillId="0" borderId="12" xfId="68" applyNumberFormat="1" applyFont="1" applyBorder="1" applyAlignment="1" applyProtection="1">
      <alignment horizontal="center" vertical="center" wrapText="1"/>
      <protection/>
    </xf>
    <xf numFmtId="173" fontId="14" fillId="0" borderId="10" xfId="68" applyNumberFormat="1" applyFont="1" applyBorder="1" applyAlignment="1" applyProtection="1">
      <alignment horizontal="center" vertical="center" wrapText="1"/>
      <protection/>
    </xf>
    <xf numFmtId="173" fontId="14" fillId="0" borderId="12" xfId="68" applyNumberFormat="1" applyFont="1" applyFill="1" applyBorder="1" applyAlignment="1" applyProtection="1">
      <alignment horizontal="center" vertical="center" wrapText="1"/>
      <protection/>
    </xf>
    <xf numFmtId="173" fontId="14" fillId="0" borderId="10" xfId="68" applyNumberFormat="1" applyFont="1" applyBorder="1" applyAlignment="1">
      <alignment horizontal="center" vertical="center" wrapText="1"/>
      <protection/>
    </xf>
    <xf numFmtId="173" fontId="14" fillId="0" borderId="12" xfId="68" applyNumberFormat="1" applyFont="1" applyBorder="1" applyAlignment="1">
      <alignment horizontal="center" vertical="center" wrapText="1"/>
      <protection/>
    </xf>
    <xf numFmtId="173" fontId="14" fillId="0" borderId="13" xfId="68" applyNumberFormat="1" applyFont="1" applyBorder="1" applyAlignment="1">
      <alignment horizontal="center" vertical="center" wrapText="1"/>
      <protection/>
    </xf>
    <xf numFmtId="173" fontId="15" fillId="0" borderId="11" xfId="68" applyNumberFormat="1" applyFont="1" applyBorder="1" applyAlignment="1">
      <alignment horizontal="center" vertical="center" wrapText="1"/>
      <protection/>
    </xf>
    <xf numFmtId="173" fontId="15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173" fontId="14" fillId="0" borderId="0" xfId="68" applyNumberFormat="1" applyFont="1" applyBorder="1" applyAlignment="1">
      <alignment horizontal="center" vertical="center" wrapText="1"/>
      <protection/>
    </xf>
    <xf numFmtId="173" fontId="14" fillId="0" borderId="13" xfId="68" applyNumberFormat="1" applyFont="1" applyBorder="1" applyAlignment="1" applyProtection="1">
      <alignment horizontal="center" vertical="center" wrapText="1"/>
      <protection/>
    </xf>
    <xf numFmtId="173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9" fontId="14" fillId="0" borderId="12" xfId="7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14" fillId="0" borderId="13" xfId="68" applyNumberFormat="1" applyFont="1" applyFill="1" applyBorder="1" applyAlignment="1" applyProtection="1">
      <alignment horizontal="center" vertical="center" wrapText="1"/>
      <protection/>
    </xf>
    <xf numFmtId="173" fontId="0" fillId="0" borderId="14" xfId="0" applyNumberFormat="1" applyBorder="1" applyAlignment="1">
      <alignment/>
    </xf>
    <xf numFmtId="173" fontId="0" fillId="0" borderId="19" xfId="0" applyNumberFormat="1" applyBorder="1" applyAlignment="1">
      <alignment/>
    </xf>
    <xf numFmtId="0" fontId="15" fillId="0" borderId="0" xfId="68" applyFont="1" applyBorder="1" applyAlignment="1">
      <alignment horizontal="left" vertical="center" wrapText="1"/>
      <protection/>
    </xf>
    <xf numFmtId="173" fontId="15" fillId="0" borderId="0" xfId="68" applyNumberFormat="1" applyFont="1" applyBorder="1" applyAlignment="1">
      <alignment horizontal="center" vertical="center" wrapText="1"/>
      <protection/>
    </xf>
    <xf numFmtId="9" fontId="14" fillId="0" borderId="0" xfId="71" applyFont="1" applyBorder="1" applyAlignment="1" applyProtection="1">
      <alignment horizontal="center" vertical="center" wrapText="1"/>
      <protection/>
    </xf>
    <xf numFmtId="9" fontId="0" fillId="0" borderId="24" xfId="71" applyFon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0" xfId="0" applyNumberFormat="1" applyBorder="1" applyAlignment="1">
      <alignment horizontal="center" vertical="center"/>
    </xf>
    <xf numFmtId="176" fontId="0" fillId="38" borderId="0" xfId="0" applyNumberFormat="1" applyFill="1" applyAlignment="1" applyProtection="1">
      <alignment/>
      <protection locked="0"/>
    </xf>
    <xf numFmtId="176" fontId="0" fillId="39" borderId="0" xfId="0" applyNumberFormat="1" applyFill="1" applyAlignment="1">
      <alignment/>
    </xf>
    <xf numFmtId="17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8" fontId="0" fillId="39" borderId="0" xfId="0" applyNumberFormat="1" applyFill="1" applyAlignment="1">
      <alignment/>
    </xf>
    <xf numFmtId="0" fontId="0" fillId="0" borderId="12" xfId="0" applyBorder="1" applyAlignment="1">
      <alignment horizontal="center"/>
    </xf>
    <xf numFmtId="173" fontId="15" fillId="0" borderId="24" xfId="68" applyNumberFormat="1" applyFont="1" applyBorder="1" applyAlignment="1">
      <alignment horizontal="center" vertical="center" wrapText="1"/>
      <protection/>
    </xf>
    <xf numFmtId="173" fontId="15" fillId="0" borderId="14" xfId="68" applyNumberFormat="1" applyFont="1" applyBorder="1" applyAlignment="1" applyProtection="1">
      <alignment horizontal="center" vertical="center" wrapText="1"/>
      <protection/>
    </xf>
    <xf numFmtId="173" fontId="15" fillId="0" borderId="12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9" fontId="0" fillId="0" borderId="0" xfId="71" applyFont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9" fontId="0" fillId="40" borderId="28" xfId="71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30" xfId="0" applyFill="1" applyBorder="1" applyAlignment="1">
      <alignment/>
    </xf>
    <xf numFmtId="0" fontId="0" fillId="41" borderId="0" xfId="0" applyFill="1" applyAlignment="1">
      <alignment/>
    </xf>
    <xf numFmtId="173" fontId="0" fillId="41" borderId="0" xfId="0" applyNumberFormat="1" applyFill="1" applyAlignment="1">
      <alignment/>
    </xf>
    <xf numFmtId="0" fontId="16" fillId="41" borderId="0" xfId="0" applyFont="1" applyFill="1" applyAlignment="1">
      <alignment horizontal="center"/>
    </xf>
    <xf numFmtId="170" fontId="0" fillId="0" borderId="0" xfId="71" applyNumberFormat="1" applyFont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173" fontId="0" fillId="41" borderId="26" xfId="0" applyNumberFormat="1" applyFill="1" applyBorder="1" applyAlignment="1">
      <alignment/>
    </xf>
    <xf numFmtId="173" fontId="0" fillId="41" borderId="0" xfId="0" applyNumberFormat="1" applyFill="1" applyBorder="1" applyAlignment="1">
      <alignment/>
    </xf>
    <xf numFmtId="43" fontId="0" fillId="41" borderId="26" xfId="0" applyNumberFormat="1" applyFill="1" applyBorder="1" applyAlignment="1">
      <alignment horizontal="center"/>
    </xf>
    <xf numFmtId="43" fontId="0" fillId="41" borderId="0" xfId="0" applyNumberFormat="1" applyFill="1" applyBorder="1" applyAlignment="1">
      <alignment horizontal="center"/>
    </xf>
    <xf numFmtId="43" fontId="0" fillId="41" borderId="31" xfId="0" applyNumberFormat="1" applyFill="1" applyBorder="1" applyAlignment="1">
      <alignment/>
    </xf>
    <xf numFmtId="9" fontId="0" fillId="41" borderId="26" xfId="71" applyFont="1" applyFill="1" applyBorder="1" applyAlignment="1">
      <alignment horizontal="center"/>
    </xf>
    <xf numFmtId="9" fontId="0" fillId="41" borderId="0" xfId="71" applyFont="1" applyFill="1" applyBorder="1" applyAlignment="1">
      <alignment horizontal="center"/>
    </xf>
    <xf numFmtId="9" fontId="0" fillId="41" borderId="31" xfId="71" applyFont="1" applyFill="1" applyBorder="1" applyAlignment="1">
      <alignment/>
    </xf>
    <xf numFmtId="9" fontId="0" fillId="41" borderId="0" xfId="71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32" xfId="0" applyFill="1" applyBorder="1" applyAlignment="1">
      <alignment/>
    </xf>
    <xf numFmtId="9" fontId="0" fillId="41" borderId="30" xfId="71" applyFont="1" applyFill="1" applyBorder="1" applyAlignment="1">
      <alignment/>
    </xf>
    <xf numFmtId="0" fontId="0" fillId="41" borderId="24" xfId="0" applyFill="1" applyBorder="1" applyAlignment="1">
      <alignment horizontal="center" wrapText="1"/>
    </xf>
    <xf numFmtId="0" fontId="0" fillId="41" borderId="14" xfId="0" applyFill="1" applyBorder="1" applyAlignment="1">
      <alignment wrapText="1"/>
    </xf>
    <xf numFmtId="0" fontId="0" fillId="41" borderId="10" xfId="0" applyFill="1" applyBorder="1" applyAlignment="1">
      <alignment horizontal="center"/>
    </xf>
    <xf numFmtId="0" fontId="0" fillId="41" borderId="24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7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18" xfId="0" applyFill="1" applyBorder="1" applyAlignment="1">
      <alignment/>
    </xf>
    <xf numFmtId="1" fontId="0" fillId="41" borderId="0" xfId="0" applyNumberFormat="1" applyFill="1" applyBorder="1" applyAlignment="1">
      <alignment horizontal="center"/>
    </xf>
    <xf numFmtId="0" fontId="0" fillId="36" borderId="26" xfId="0" applyFill="1" applyBorder="1" applyAlignment="1">
      <alignment/>
    </xf>
    <xf numFmtId="173" fontId="0" fillId="41" borderId="17" xfId="0" applyNumberFormat="1" applyFill="1" applyBorder="1" applyAlignment="1">
      <alignment horizontal="center"/>
    </xf>
    <xf numFmtId="173" fontId="0" fillId="41" borderId="0" xfId="0" applyNumberFormat="1" applyFill="1" applyBorder="1" applyAlignment="1">
      <alignment horizontal="center"/>
    </xf>
    <xf numFmtId="173" fontId="0" fillId="41" borderId="18" xfId="0" applyNumberFormat="1" applyFill="1" applyBorder="1" applyAlignment="1">
      <alignment horizontal="center"/>
    </xf>
    <xf numFmtId="179" fontId="0" fillId="41" borderId="17" xfId="42" applyNumberFormat="1" applyFont="1" applyFill="1" applyBorder="1" applyAlignment="1">
      <alignment/>
    </xf>
    <xf numFmtId="179" fontId="0" fillId="41" borderId="0" xfId="42" applyNumberFormat="1" applyFont="1" applyFill="1" applyBorder="1" applyAlignment="1">
      <alignment/>
    </xf>
    <xf numFmtId="9" fontId="0" fillId="41" borderId="17" xfId="71" applyFont="1" applyFill="1" applyBorder="1" applyAlignment="1">
      <alignment/>
    </xf>
    <xf numFmtId="179" fontId="0" fillId="41" borderId="17" xfId="71" applyNumberFormat="1" applyFont="1" applyFill="1" applyBorder="1" applyAlignment="1">
      <alignment/>
    </xf>
    <xf numFmtId="179" fontId="0" fillId="41" borderId="0" xfId="71" applyNumberFormat="1" applyFont="1" applyFill="1" applyBorder="1" applyAlignment="1">
      <alignment/>
    </xf>
    <xf numFmtId="179" fontId="0" fillId="41" borderId="18" xfId="71" applyNumberFormat="1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3" xfId="0" applyFill="1" applyBorder="1" applyAlignment="1">
      <alignment/>
    </xf>
    <xf numFmtId="9" fontId="0" fillId="41" borderId="19" xfId="71" applyFont="1" applyFill="1" applyBorder="1" applyAlignment="1">
      <alignment horizontal="center"/>
    </xf>
    <xf numFmtId="9" fontId="0" fillId="41" borderId="27" xfId="71" applyFont="1" applyFill="1" applyBorder="1" applyAlignment="1">
      <alignment/>
    </xf>
    <xf numFmtId="9" fontId="0" fillId="41" borderId="19" xfId="71" applyFon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Alignment="1">
      <alignment/>
    </xf>
    <xf numFmtId="0" fontId="14" fillId="37" borderId="27" xfId="68" applyFont="1" applyFill="1" applyBorder="1" applyAlignment="1">
      <alignment horizontal="left" vertical="center" wrapText="1"/>
      <protection/>
    </xf>
    <xf numFmtId="173" fontId="14" fillId="0" borderId="13" xfId="68" applyNumberFormat="1" applyFont="1" applyBorder="1" applyAlignment="1" applyProtection="1">
      <alignment horizontal="left" vertical="center" wrapText="1"/>
      <protection/>
    </xf>
    <xf numFmtId="9" fontId="14" fillId="0" borderId="10" xfId="71" applyFont="1" applyBorder="1" applyAlignment="1" applyProtection="1">
      <alignment horizontal="center" vertical="center" wrapText="1"/>
      <protection/>
    </xf>
    <xf numFmtId="9" fontId="14" fillId="0" borderId="13" xfId="7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2" fontId="0" fillId="0" borderId="12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25" xfId="0" applyBorder="1" applyAlignment="1">
      <alignment horizontal="center" vertical="top" wrapText="1"/>
    </xf>
    <xf numFmtId="170" fontId="14" fillId="0" borderId="19" xfId="71" applyNumberFormat="1" applyFont="1" applyBorder="1" applyAlignment="1" applyProtection="1">
      <alignment horizontal="center" vertical="center" wrapText="1"/>
      <protection/>
    </xf>
    <xf numFmtId="173" fontId="14" fillId="0" borderId="27" xfId="68" applyNumberFormat="1" applyFont="1" applyBorder="1" applyAlignment="1" applyProtection="1">
      <alignment horizontal="center" vertical="center" wrapText="1"/>
      <protection/>
    </xf>
    <xf numFmtId="173" fontId="14" fillId="0" borderId="20" xfId="68" applyNumberFormat="1" applyFont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vertical="top" wrapText="1"/>
    </xf>
    <xf numFmtId="9" fontId="0" fillId="0" borderId="16" xfId="71" applyFont="1" applyBorder="1" applyAlignment="1">
      <alignment/>
    </xf>
    <xf numFmtId="9" fontId="0" fillId="0" borderId="18" xfId="71" applyFont="1" applyBorder="1" applyAlignment="1">
      <alignment/>
    </xf>
    <xf numFmtId="9" fontId="0" fillId="0" borderId="20" xfId="71" applyFont="1" applyBorder="1" applyAlignment="1">
      <alignment/>
    </xf>
    <xf numFmtId="0" fontId="5" fillId="35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35" borderId="18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181" fontId="0" fillId="0" borderId="0" xfId="71" applyNumberFormat="1" applyFont="1" applyFill="1" applyBorder="1" applyAlignment="1">
      <alignment horizontal="center"/>
    </xf>
    <xf numFmtId="173" fontId="14" fillId="0" borderId="24" xfId="68" applyNumberFormat="1" applyFont="1" applyBorder="1" applyAlignment="1" applyProtection="1">
      <alignment horizontal="center" vertical="center" wrapText="1"/>
      <protection/>
    </xf>
    <xf numFmtId="173" fontId="14" fillId="0" borderId="16" xfId="6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vertical="top" wrapText="1"/>
    </xf>
    <xf numFmtId="0" fontId="15" fillId="0" borderId="10" xfId="68" applyFont="1" applyBorder="1" applyAlignment="1">
      <alignment horizontal="left" vertical="center" wrapText="1"/>
      <protection/>
    </xf>
    <xf numFmtId="0" fontId="15" fillId="0" borderId="24" xfId="68" applyFont="1" applyBorder="1" applyAlignment="1">
      <alignment horizontal="left" vertical="center" wrapText="1"/>
      <protection/>
    </xf>
    <xf numFmtId="172" fontId="0" fillId="0" borderId="14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70" fontId="14" fillId="0" borderId="14" xfId="71" applyNumberFormat="1" applyFont="1" applyFill="1" applyBorder="1" applyAlignment="1" applyProtection="1">
      <alignment horizontal="center" vertical="center" wrapText="1"/>
      <protection/>
    </xf>
    <xf numFmtId="170" fontId="14" fillId="0" borderId="19" xfId="71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vertical="top" wrapText="1"/>
    </xf>
    <xf numFmtId="170" fontId="5" fillId="0" borderId="15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170" fontId="5" fillId="0" borderId="25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3" fontId="21" fillId="0" borderId="0" xfId="0" applyNumberFormat="1" applyFont="1" applyFill="1" applyAlignment="1">
      <alignment/>
    </xf>
    <xf numFmtId="0" fontId="21" fillId="42" borderId="0" xfId="0" applyFont="1" applyFill="1" applyAlignment="1">
      <alignment/>
    </xf>
    <xf numFmtId="0" fontId="21" fillId="42" borderId="0" xfId="0" applyFont="1" applyFill="1" applyAlignment="1">
      <alignment/>
    </xf>
    <xf numFmtId="173" fontId="21" fillId="42" borderId="0" xfId="0" applyNumberFormat="1" applyFont="1" applyFill="1" applyAlignment="1">
      <alignment/>
    </xf>
    <xf numFmtId="0" fontId="0" fillId="40" borderId="0" xfId="0" applyFont="1" applyFill="1" applyBorder="1" applyAlignment="1">
      <alignment/>
    </xf>
    <xf numFmtId="9" fontId="5" fillId="0" borderId="15" xfId="71" applyFont="1" applyBorder="1" applyAlignment="1">
      <alignment horizontal="center"/>
    </xf>
    <xf numFmtId="9" fontId="5" fillId="0" borderId="25" xfId="71" applyFont="1" applyBorder="1" applyAlignment="1">
      <alignment horizontal="center"/>
    </xf>
    <xf numFmtId="9" fontId="5" fillId="0" borderId="21" xfId="71" applyFont="1" applyBorder="1" applyAlignment="1">
      <alignment horizontal="center"/>
    </xf>
    <xf numFmtId="170" fontId="0" fillId="0" borderId="0" xfId="71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/>
    </xf>
    <xf numFmtId="1" fontId="15" fillId="0" borderId="22" xfId="64" applyNumberFormat="1" applyFont="1" applyBorder="1" applyProtection="1">
      <alignment/>
      <protection/>
    </xf>
    <xf numFmtId="1" fontId="15" fillId="0" borderId="23" xfId="64" applyNumberFormat="1" applyFont="1" applyBorder="1" applyProtection="1">
      <alignment/>
      <protection/>
    </xf>
    <xf numFmtId="1" fontId="15" fillId="0" borderId="33" xfId="64" applyNumberFormat="1" applyFont="1" applyBorder="1" applyProtection="1">
      <alignment/>
      <protection/>
    </xf>
    <xf numFmtId="1" fontId="14" fillId="0" borderId="26" xfId="64" applyNumberFormat="1" applyFont="1" applyBorder="1" applyAlignment="1" applyProtection="1">
      <alignment wrapText="1"/>
      <protection/>
    </xf>
    <xf numFmtId="1" fontId="15" fillId="0" borderId="0" xfId="64" applyNumberFormat="1" applyFont="1" applyBorder="1" applyAlignment="1" applyProtection="1">
      <alignment wrapText="1"/>
      <protection/>
    </xf>
    <xf numFmtId="1" fontId="15" fillId="0" borderId="34" xfId="64" applyNumberFormat="1" applyFont="1" applyBorder="1" applyAlignment="1" applyProtection="1">
      <alignment horizontal="center" wrapText="1"/>
      <protection/>
    </xf>
    <xf numFmtId="1" fontId="15" fillId="0" borderId="33" xfId="64" applyNumberFormat="1" applyFont="1" applyBorder="1" applyAlignment="1" applyProtection="1">
      <alignment horizontal="center" vertical="center" wrapText="1"/>
      <protection/>
    </xf>
    <xf numFmtId="1" fontId="15" fillId="0" borderId="31" xfId="64" applyNumberFormat="1" applyFont="1" applyBorder="1" applyAlignment="1" applyProtection="1">
      <alignment horizontal="center" vertical="center" wrapText="1"/>
      <protection/>
    </xf>
    <xf numFmtId="1" fontId="15" fillId="0" borderId="29" xfId="64" applyNumberFormat="1" applyFont="1" applyBorder="1" applyProtection="1">
      <alignment/>
      <protection/>
    </xf>
    <xf numFmtId="1" fontId="15" fillId="0" borderId="30" xfId="64" applyNumberFormat="1" applyFont="1" applyBorder="1" applyProtection="1">
      <alignment/>
      <protection/>
    </xf>
    <xf numFmtId="1" fontId="14" fillId="0" borderId="26" xfId="64" applyNumberFormat="1" applyFont="1" applyFill="1" applyBorder="1" applyProtection="1">
      <alignment/>
      <protection/>
    </xf>
    <xf numFmtId="0" fontId="15" fillId="0" borderId="0" xfId="64" applyFont="1" applyBorder="1" applyAlignment="1" applyProtection="1">
      <alignment/>
      <protection/>
    </xf>
    <xf numFmtId="0" fontId="14" fillId="0" borderId="0" xfId="64" applyFont="1" applyBorder="1" applyProtection="1">
      <alignment/>
      <protection/>
    </xf>
    <xf numFmtId="1" fontId="14" fillId="0" borderId="33" xfId="64" applyNumberFormat="1" applyFont="1" applyFill="1" applyBorder="1" applyAlignment="1" applyProtection="1">
      <alignment horizontal="center"/>
      <protection/>
    </xf>
    <xf numFmtId="1" fontId="14" fillId="0" borderId="35" xfId="64" applyNumberFormat="1" applyFont="1" applyFill="1" applyBorder="1" applyAlignment="1" applyProtection="1">
      <alignment horizontal="center"/>
      <protection/>
    </xf>
    <xf numFmtId="1" fontId="14" fillId="0" borderId="36" xfId="64" applyNumberFormat="1" applyFont="1" applyFill="1" applyBorder="1" applyAlignment="1" applyProtection="1">
      <alignment horizontal="center"/>
      <protection/>
    </xf>
    <xf numFmtId="1" fontId="14" fillId="0" borderId="37" xfId="64" applyNumberFormat="1" applyFont="1" applyFill="1" applyBorder="1" applyAlignment="1" applyProtection="1">
      <alignment horizontal="center"/>
      <protection/>
    </xf>
    <xf numFmtId="0" fontId="15" fillId="0" borderId="0" xfId="64" applyFont="1" applyBorder="1" applyProtection="1">
      <alignment/>
      <protection/>
    </xf>
    <xf numFmtId="1" fontId="14" fillId="0" borderId="34" xfId="64" applyNumberFormat="1" applyFont="1" applyFill="1" applyBorder="1" applyAlignment="1" applyProtection="1">
      <alignment horizontal="center"/>
      <protection/>
    </xf>
    <xf numFmtId="1" fontId="14" fillId="0" borderId="38" xfId="64" applyNumberFormat="1" applyFont="1" applyFill="1" applyBorder="1" applyAlignment="1" applyProtection="1">
      <alignment horizontal="center"/>
      <protection/>
    </xf>
    <xf numFmtId="1" fontId="14" fillId="0" borderId="12" xfId="64" applyNumberFormat="1" applyFont="1" applyFill="1" applyBorder="1" applyAlignment="1" applyProtection="1">
      <alignment horizontal="center"/>
      <protection/>
    </xf>
    <xf numFmtId="1" fontId="14" fillId="0" borderId="17" xfId="64" applyNumberFormat="1" applyFont="1" applyFill="1" applyBorder="1" applyAlignment="1" applyProtection="1">
      <alignment horizontal="center"/>
      <protection/>
    </xf>
    <xf numFmtId="173" fontId="14" fillId="0" borderId="34" xfId="64" applyNumberFormat="1" applyFont="1" applyFill="1" applyBorder="1" applyAlignment="1" applyProtection="1">
      <alignment horizontal="center"/>
      <protection/>
    </xf>
    <xf numFmtId="0" fontId="14" fillId="0" borderId="26" xfId="64" applyFont="1" applyBorder="1" applyProtection="1">
      <alignment/>
      <protection/>
    </xf>
    <xf numFmtId="174" fontId="15" fillId="42" borderId="39" xfId="64" applyNumberFormat="1" applyFont="1" applyFill="1" applyBorder="1" applyAlignment="1" applyProtection="1">
      <alignment horizontal="center"/>
      <protection/>
    </xf>
    <xf numFmtId="174" fontId="14" fillId="0" borderId="40" xfId="64" applyNumberFormat="1" applyFont="1" applyFill="1" applyBorder="1" applyAlignment="1" applyProtection="1">
      <alignment horizontal="center"/>
      <protection/>
    </xf>
    <xf numFmtId="174" fontId="14" fillId="0" borderId="11" xfId="64" applyNumberFormat="1" applyFont="1" applyFill="1" applyBorder="1" applyAlignment="1" applyProtection="1">
      <alignment horizontal="center"/>
      <protection/>
    </xf>
    <xf numFmtId="173" fontId="23" fillId="41" borderId="39" xfId="64" applyNumberFormat="1" applyFont="1" applyFill="1" applyBorder="1" applyAlignment="1" applyProtection="1">
      <alignment horizontal="center"/>
      <protection locked="0"/>
    </xf>
    <xf numFmtId="174" fontId="14" fillId="0" borderId="15" xfId="64" applyNumberFormat="1" applyFont="1" applyFill="1" applyBorder="1" applyAlignment="1" applyProtection="1">
      <alignment horizontal="center"/>
      <protection/>
    </xf>
    <xf numFmtId="174" fontId="15" fillId="0" borderId="34" xfId="64" applyNumberFormat="1" applyFont="1" applyFill="1" applyBorder="1" applyAlignment="1" applyProtection="1">
      <alignment horizontal="center"/>
      <protection/>
    </xf>
    <xf numFmtId="174" fontId="14" fillId="0" borderId="38" xfId="64" applyNumberFormat="1" applyFont="1" applyFill="1" applyBorder="1" applyAlignment="1" applyProtection="1">
      <alignment horizontal="center"/>
      <protection/>
    </xf>
    <xf numFmtId="174" fontId="14" fillId="0" borderId="12" xfId="64" applyNumberFormat="1" applyFont="1" applyFill="1" applyBorder="1" applyAlignment="1" applyProtection="1">
      <alignment horizontal="center"/>
      <protection/>
    </xf>
    <xf numFmtId="174" fontId="14" fillId="0" borderId="17" xfId="64" applyNumberFormat="1" applyFont="1" applyFill="1" applyBorder="1" applyAlignment="1" applyProtection="1">
      <alignment horizontal="center"/>
      <protection/>
    </xf>
    <xf numFmtId="173" fontId="14" fillId="0" borderId="34" xfId="64" applyNumberFormat="1" applyFont="1" applyFill="1" applyBorder="1" applyAlignment="1" applyProtection="1">
      <alignment horizontal="center"/>
      <protection locked="0"/>
    </xf>
    <xf numFmtId="174" fontId="23" fillId="0" borderId="41" xfId="64" applyNumberFormat="1" applyFont="1" applyFill="1" applyBorder="1" applyAlignment="1" applyProtection="1">
      <alignment horizontal="center"/>
      <protection/>
    </xf>
    <xf numFmtId="174" fontId="14" fillId="0" borderId="42" xfId="64" applyNumberFormat="1" applyFont="1" applyFill="1" applyBorder="1" applyAlignment="1" applyProtection="1">
      <alignment horizontal="center"/>
      <protection/>
    </xf>
    <xf numFmtId="174" fontId="14" fillId="0" borderId="43" xfId="64" applyNumberFormat="1" applyFont="1" applyFill="1" applyBorder="1" applyAlignment="1" applyProtection="1">
      <alignment horizontal="center"/>
      <protection/>
    </xf>
    <xf numFmtId="174" fontId="14" fillId="0" borderId="44" xfId="64" applyNumberFormat="1" applyFont="1" applyFill="1" applyBorder="1" applyAlignment="1" applyProtection="1">
      <alignment horizontal="center"/>
      <protection/>
    </xf>
    <xf numFmtId="174" fontId="14" fillId="0" borderId="41" xfId="64" applyNumberFormat="1" applyFont="1" applyFill="1" applyBorder="1" applyAlignment="1" applyProtection="1">
      <alignment horizontal="center"/>
      <protection/>
    </xf>
    <xf numFmtId="173" fontId="23" fillId="0" borderId="41" xfId="64" applyNumberFormat="1" applyFont="1" applyFill="1" applyBorder="1" applyAlignment="1" applyProtection="1">
      <alignment horizontal="center"/>
      <protection locked="0"/>
    </xf>
    <xf numFmtId="0" fontId="14" fillId="0" borderId="22" xfId="64" applyFont="1" applyBorder="1" applyProtection="1">
      <alignment/>
      <protection/>
    </xf>
    <xf numFmtId="0" fontId="15" fillId="0" borderId="23" xfId="64" applyFont="1" applyBorder="1" applyAlignment="1" applyProtection="1">
      <alignment/>
      <protection/>
    </xf>
    <xf numFmtId="0" fontId="14" fillId="0" borderId="0" xfId="62" applyFont="1" applyAlignment="1" applyProtection="1">
      <alignment/>
      <protection/>
    </xf>
    <xf numFmtId="174" fontId="15" fillId="0" borderId="33" xfId="64" applyNumberFormat="1" applyFont="1" applyFill="1" applyBorder="1" applyAlignment="1" applyProtection="1">
      <alignment horizontal="center"/>
      <protection/>
    </xf>
    <xf numFmtId="174" fontId="14" fillId="0" borderId="35" xfId="64" applyNumberFormat="1" applyFont="1" applyFill="1" applyBorder="1" applyAlignment="1" applyProtection="1">
      <alignment horizontal="center"/>
      <protection/>
    </xf>
    <xf numFmtId="174" fontId="14" fillId="0" borderId="36" xfId="64" applyNumberFormat="1" applyFont="1" applyFill="1" applyBorder="1" applyAlignment="1" applyProtection="1">
      <alignment horizontal="center"/>
      <protection/>
    </xf>
    <xf numFmtId="174" fontId="14" fillId="0" borderId="37" xfId="64" applyNumberFormat="1" applyFont="1" applyFill="1" applyBorder="1" applyAlignment="1" applyProtection="1">
      <alignment horizontal="center"/>
      <protection/>
    </xf>
    <xf numFmtId="173" fontId="14" fillId="0" borderId="33" xfId="64" applyNumberFormat="1" applyFont="1" applyFill="1" applyBorder="1" applyAlignment="1" applyProtection="1">
      <alignment horizontal="center"/>
      <protection locked="0"/>
    </xf>
    <xf numFmtId="173" fontId="23" fillId="0" borderId="41" xfId="64" applyNumberFormat="1" applyFont="1" applyFill="1" applyBorder="1" applyAlignment="1" applyProtection="1">
      <alignment horizontal="center"/>
      <protection/>
    </xf>
    <xf numFmtId="173" fontId="24" fillId="41" borderId="40" xfId="61" applyNumberFormat="1" applyFont="1" applyFill="1" applyBorder="1" applyAlignment="1" applyProtection="1">
      <alignment horizontal="center" vertical="center"/>
      <protection locked="0"/>
    </xf>
    <xf numFmtId="173" fontId="24" fillId="41" borderId="21" xfId="61" applyNumberFormat="1" applyFont="1" applyFill="1" applyBorder="1" applyAlignment="1" applyProtection="1">
      <alignment horizontal="center" vertical="center"/>
      <protection locked="0"/>
    </xf>
    <xf numFmtId="173" fontId="24" fillId="41" borderId="45" xfId="61" applyNumberFormat="1" applyFont="1" applyFill="1" applyBorder="1" applyAlignment="1" applyProtection="1">
      <alignment horizontal="center" vertical="center"/>
      <protection locked="0"/>
    </xf>
    <xf numFmtId="173" fontId="24" fillId="41" borderId="11" xfId="61" applyNumberFormat="1" applyFont="1" applyFill="1" applyBorder="1" applyAlignment="1" applyProtection="1">
      <alignment horizontal="center" vertical="center"/>
      <protection locked="0"/>
    </xf>
    <xf numFmtId="173" fontId="24" fillId="43" borderId="40" xfId="61" applyNumberFormat="1" applyFont="1" applyFill="1" applyBorder="1" applyAlignment="1" applyProtection="1">
      <alignment horizontal="center" vertical="center"/>
      <protection/>
    </xf>
    <xf numFmtId="173" fontId="24" fillId="43" borderId="21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173" fontId="24" fillId="43" borderId="46" xfId="61" applyNumberFormat="1" applyFont="1" applyFill="1" applyBorder="1" applyAlignment="1" applyProtection="1">
      <alignment horizontal="center" vertical="center"/>
      <protection/>
    </xf>
    <xf numFmtId="173" fontId="24" fillId="43" borderId="47" xfId="61" applyNumberFormat="1" applyFont="1" applyFill="1" applyBorder="1" applyAlignment="1" applyProtection="1">
      <alignment horizontal="center" vertical="center"/>
      <protection/>
    </xf>
    <xf numFmtId="173" fontId="24" fillId="41" borderId="47" xfId="61" applyNumberFormat="1" applyFont="1" applyFill="1" applyBorder="1" applyAlignment="1" applyProtection="1">
      <alignment horizontal="center" vertical="center"/>
      <protection locked="0"/>
    </xf>
    <xf numFmtId="173" fontId="24" fillId="41" borderId="48" xfId="61" applyNumberFormat="1" applyFont="1" applyFill="1" applyBorder="1" applyAlignment="1" applyProtection="1">
      <alignment horizontal="center" vertical="center"/>
      <protection locked="0"/>
    </xf>
    <xf numFmtId="173" fontId="24" fillId="41" borderId="49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1" fontId="24" fillId="41" borderId="40" xfId="61" applyNumberFormat="1" applyFont="1" applyFill="1" applyBorder="1" applyAlignment="1" applyProtection="1">
      <alignment horizontal="center" vertical="center"/>
      <protection locked="0"/>
    </xf>
    <xf numFmtId="1" fontId="24" fillId="41" borderId="21" xfId="61" applyNumberFormat="1" applyFont="1" applyFill="1" applyBorder="1" applyAlignment="1" applyProtection="1">
      <alignment horizontal="center" vertical="center"/>
      <protection locked="0"/>
    </xf>
    <xf numFmtId="1" fontId="24" fillId="41" borderId="45" xfId="61" applyNumberFormat="1" applyFont="1" applyFill="1" applyBorder="1" applyAlignment="1" applyProtection="1">
      <alignment horizontal="center" vertical="center"/>
      <protection locked="0"/>
    </xf>
    <xf numFmtId="1" fontId="24" fillId="41" borderId="11" xfId="61" applyNumberFormat="1" applyFont="1" applyFill="1" applyBorder="1" applyAlignment="1" applyProtection="1">
      <alignment horizontal="center" vertical="center"/>
      <protection locked="0"/>
    </xf>
    <xf numFmtId="1" fontId="24" fillId="41" borderId="50" xfId="61" applyNumberFormat="1" applyFont="1" applyFill="1" applyBorder="1" applyAlignment="1" applyProtection="1">
      <alignment horizontal="center" vertical="center"/>
      <protection locked="0"/>
    </xf>
    <xf numFmtId="1" fontId="24" fillId="41" borderId="16" xfId="61" applyNumberFormat="1" applyFont="1" applyFill="1" applyBorder="1" applyAlignment="1" applyProtection="1">
      <alignment horizontal="center" vertical="center"/>
      <protection locked="0"/>
    </xf>
    <xf numFmtId="1" fontId="24" fillId="41" borderId="51" xfId="61" applyNumberFormat="1" applyFont="1" applyFill="1" applyBorder="1" applyAlignment="1" applyProtection="1">
      <alignment horizontal="center" vertical="center"/>
      <protection locked="0"/>
    </xf>
    <xf numFmtId="1" fontId="24" fillId="41" borderId="10" xfId="6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8" fillId="0" borderId="0" xfId="0" applyNumberFormat="1" applyFont="1" applyAlignment="1" applyProtection="1">
      <alignment/>
      <protection/>
    </xf>
    <xf numFmtId="0" fontId="24" fillId="41" borderId="11" xfId="61" applyFont="1" applyFill="1" applyBorder="1" applyAlignment="1" applyProtection="1">
      <alignment horizontal="center" vertical="center"/>
      <protection locked="0"/>
    </xf>
    <xf numFmtId="0" fontId="24" fillId="41" borderId="15" xfId="61" applyFont="1" applyFill="1" applyBorder="1" applyAlignment="1" applyProtection="1">
      <alignment horizontal="center" vertical="center"/>
      <protection locked="0"/>
    </xf>
    <xf numFmtId="172" fontId="24" fillId="41" borderId="40" xfId="61" applyNumberFormat="1" applyFont="1" applyFill="1" applyBorder="1" applyAlignment="1" applyProtection="1">
      <alignment horizontal="center" vertical="center"/>
      <protection locked="0"/>
    </xf>
    <xf numFmtId="172" fontId="24" fillId="41" borderId="21" xfId="61" applyNumberFormat="1" applyFont="1" applyFill="1" applyBorder="1" applyAlignment="1" applyProtection="1">
      <alignment horizontal="center" vertical="center"/>
      <protection locked="0"/>
    </xf>
    <xf numFmtId="172" fontId="24" fillId="41" borderId="45" xfId="61" applyNumberFormat="1" applyFont="1" applyFill="1" applyBorder="1" applyAlignment="1" applyProtection="1">
      <alignment horizontal="center" vertical="center"/>
      <protection locked="0"/>
    </xf>
    <xf numFmtId="172" fontId="24" fillId="41" borderId="11" xfId="61" applyNumberFormat="1" applyFont="1" applyFill="1" applyBorder="1" applyAlignment="1" applyProtection="1">
      <alignment horizontal="center" vertical="center"/>
      <protection locked="0"/>
    </xf>
    <xf numFmtId="0" fontId="24" fillId="41" borderId="10" xfId="61" applyFont="1" applyFill="1" applyBorder="1" applyAlignment="1" applyProtection="1">
      <alignment horizontal="center" vertical="center"/>
      <protection locked="0"/>
    </xf>
    <xf numFmtId="0" fontId="24" fillId="41" borderId="14" xfId="61" applyFont="1" applyFill="1" applyBorder="1" applyAlignment="1" applyProtection="1">
      <alignment horizontal="center" vertical="center"/>
      <protection locked="0"/>
    </xf>
    <xf numFmtId="172" fontId="24" fillId="41" borderId="50" xfId="61" applyNumberFormat="1" applyFont="1" applyFill="1" applyBorder="1" applyAlignment="1" applyProtection="1">
      <alignment horizontal="center" vertical="center"/>
      <protection locked="0"/>
    </xf>
    <xf numFmtId="172" fontId="24" fillId="41" borderId="16" xfId="61" applyNumberFormat="1" applyFont="1" applyFill="1" applyBorder="1" applyAlignment="1" applyProtection="1">
      <alignment horizontal="center" vertical="center"/>
      <protection locked="0"/>
    </xf>
    <xf numFmtId="172" fontId="24" fillId="41" borderId="51" xfId="61" applyNumberFormat="1" applyFont="1" applyFill="1" applyBorder="1" applyAlignment="1" applyProtection="1">
      <alignment horizontal="center" vertical="center"/>
      <protection locked="0"/>
    </xf>
    <xf numFmtId="172" fontId="24" fillId="41" borderId="10" xfId="61" applyNumberFormat="1" applyFont="1" applyFill="1" applyBorder="1" applyAlignment="1" applyProtection="1">
      <alignment horizontal="center" vertical="center"/>
      <protection locked="0"/>
    </xf>
    <xf numFmtId="2" fontId="0" fillId="42" borderId="49" xfId="0" applyNumberFormat="1" applyFill="1" applyBorder="1" applyAlignment="1" applyProtection="1">
      <alignment horizontal="center"/>
      <protection locked="0"/>
    </xf>
    <xf numFmtId="0" fontId="10" fillId="0" borderId="0" xfId="61" applyFont="1" applyProtection="1">
      <alignment/>
      <protection/>
    </xf>
    <xf numFmtId="0" fontId="10" fillId="0" borderId="38" xfId="61" applyFont="1" applyBorder="1" applyProtection="1">
      <alignment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5" xfId="6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center" vertical="center" wrapText="1"/>
      <protection/>
    </xf>
    <xf numFmtId="0" fontId="11" fillId="0" borderId="45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" fontId="24" fillId="41" borderId="52" xfId="59" applyNumberFormat="1" applyFont="1" applyFill="1" applyBorder="1" applyAlignment="1" applyProtection="1">
      <alignment horizontal="center"/>
      <protection locked="0"/>
    </xf>
    <xf numFmtId="1" fontId="24" fillId="41" borderId="20" xfId="59" applyNumberFormat="1" applyFont="1" applyFill="1" applyBorder="1" applyAlignment="1" applyProtection="1">
      <alignment horizontal="center"/>
      <protection locked="0"/>
    </xf>
    <xf numFmtId="1" fontId="24" fillId="41" borderId="53" xfId="59" applyNumberFormat="1" applyFont="1" applyFill="1" applyBorder="1" applyAlignment="1" applyProtection="1">
      <alignment horizontal="center"/>
      <protection locked="0"/>
    </xf>
    <xf numFmtId="1" fontId="24" fillId="41" borderId="40" xfId="59" applyNumberFormat="1" applyFont="1" applyFill="1" applyBorder="1" applyAlignment="1" applyProtection="1">
      <alignment horizontal="center"/>
      <protection locked="0"/>
    </xf>
    <xf numFmtId="1" fontId="24" fillId="41" borderId="21" xfId="59" applyNumberFormat="1" applyFont="1" applyFill="1" applyBorder="1" applyAlignment="1" applyProtection="1">
      <alignment horizontal="center"/>
      <protection locked="0"/>
    </xf>
    <xf numFmtId="1" fontId="24" fillId="41" borderId="54" xfId="59" applyNumberFormat="1" applyFont="1" applyFill="1" applyBorder="1" applyAlignment="1" applyProtection="1">
      <alignment horizontal="center"/>
      <protection locked="0"/>
    </xf>
    <xf numFmtId="1" fontId="24" fillId="41" borderId="46" xfId="59" applyNumberFormat="1" applyFont="1" applyFill="1" applyBorder="1" applyAlignment="1" applyProtection="1">
      <alignment horizontal="center"/>
      <protection locked="0"/>
    </xf>
    <xf numFmtId="1" fontId="24" fillId="41" borderId="49" xfId="59" applyNumberFormat="1" applyFont="1" applyFill="1" applyBorder="1" applyAlignment="1" applyProtection="1">
      <alignment horizontal="center"/>
      <protection locked="0"/>
    </xf>
    <xf numFmtId="1" fontId="24" fillId="41" borderId="48" xfId="59" applyNumberFormat="1" applyFont="1" applyFill="1" applyBorder="1" applyAlignment="1" applyProtection="1">
      <alignment horizontal="center"/>
      <protection locked="0"/>
    </xf>
    <xf numFmtId="1" fontId="24" fillId="41" borderId="45" xfId="59" applyNumberFormat="1" applyFont="1" applyFill="1" applyBorder="1" applyAlignment="1" applyProtection="1">
      <alignment horizontal="center"/>
      <protection locked="0"/>
    </xf>
    <xf numFmtId="1" fontId="24" fillId="41" borderId="47" xfId="59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3" fillId="0" borderId="0" xfId="67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left" vertical="center"/>
      <protection/>
    </xf>
    <xf numFmtId="0" fontId="8" fillId="0" borderId="0" xfId="59" applyFont="1" applyProtection="1">
      <alignment/>
      <protection/>
    </xf>
    <xf numFmtId="0" fontId="13" fillId="0" borderId="22" xfId="63" applyFont="1" applyFill="1" applyBorder="1" applyAlignment="1" applyProtection="1">
      <alignment vertical="center"/>
      <protection/>
    </xf>
    <xf numFmtId="0" fontId="13" fillId="0" borderId="28" xfId="63" applyFont="1" applyFill="1" applyBorder="1" applyAlignment="1" applyProtection="1">
      <alignment vertical="center"/>
      <protection/>
    </xf>
    <xf numFmtId="1" fontId="13" fillId="0" borderId="55" xfId="59" applyNumberFormat="1" applyFont="1" applyBorder="1" applyAlignment="1" applyProtection="1">
      <alignment horizontal="centerContinuous"/>
      <protection/>
    </xf>
    <xf numFmtId="1" fontId="13" fillId="0" borderId="56" xfId="59" applyNumberFormat="1" applyFont="1" applyBorder="1" applyAlignment="1" applyProtection="1">
      <alignment horizontal="centerContinuous"/>
      <protection/>
    </xf>
    <xf numFmtId="1" fontId="13" fillId="0" borderId="57" xfId="59" applyNumberFormat="1" applyFont="1" applyBorder="1" applyAlignment="1" applyProtection="1">
      <alignment horizontal="centerContinuous"/>
      <protection/>
    </xf>
    <xf numFmtId="0" fontId="13" fillId="0" borderId="26" xfId="63" applyFont="1" applyFill="1" applyBorder="1" applyAlignment="1" applyProtection="1">
      <alignment vertical="center"/>
      <protection/>
    </xf>
    <xf numFmtId="0" fontId="13" fillId="0" borderId="31" xfId="63" applyFont="1" applyFill="1" applyBorder="1" applyAlignment="1" applyProtection="1">
      <alignment vertical="center"/>
      <protection/>
    </xf>
    <xf numFmtId="0" fontId="13" fillId="0" borderId="40" xfId="67" applyFont="1" applyFill="1" applyBorder="1" applyAlignment="1" applyProtection="1">
      <alignment horizontal="center" vertical="center"/>
      <protection/>
    </xf>
    <xf numFmtId="0" fontId="13" fillId="0" borderId="11" xfId="67" applyFont="1" applyFill="1" applyBorder="1" applyAlignment="1" applyProtection="1">
      <alignment horizontal="center" vertical="center"/>
      <protection/>
    </xf>
    <xf numFmtId="0" fontId="13" fillId="0" borderId="45" xfId="67" applyFont="1" applyFill="1" applyBorder="1" applyAlignment="1" applyProtection="1">
      <alignment horizontal="center" vertical="center"/>
      <protection/>
    </xf>
    <xf numFmtId="0" fontId="29" fillId="0" borderId="58" xfId="63" applyFont="1" applyBorder="1" applyAlignment="1" applyProtection="1">
      <alignment vertical="center"/>
      <protection/>
    </xf>
    <xf numFmtId="0" fontId="30" fillId="0" borderId="59" xfId="63" applyFont="1" applyFill="1" applyBorder="1" applyAlignment="1" applyProtection="1">
      <alignment horizontal="centerContinuous" vertical="center"/>
      <protection/>
    </xf>
    <xf numFmtId="0" fontId="13" fillId="0" borderId="21" xfId="67" applyFont="1" applyFill="1" applyBorder="1" applyAlignment="1" applyProtection="1">
      <alignment horizontal="center" vertical="center"/>
      <protection/>
    </xf>
    <xf numFmtId="0" fontId="14" fillId="0" borderId="53" xfId="63" applyFont="1" applyFill="1" applyBorder="1" applyAlignment="1" applyProtection="1">
      <alignment/>
      <protection/>
    </xf>
    <xf numFmtId="173" fontId="31" fillId="0" borderId="52" xfId="67" applyNumberFormat="1" applyFont="1" applyFill="1" applyBorder="1" applyAlignment="1" applyProtection="1">
      <alignment horizontal="center" vertical="center"/>
      <protection/>
    </xf>
    <xf numFmtId="173" fontId="31" fillId="0" borderId="13" xfId="67" applyNumberFormat="1" applyFont="1" applyFill="1" applyBorder="1" applyAlignment="1" applyProtection="1">
      <alignment horizontal="center" vertical="center"/>
      <protection/>
    </xf>
    <xf numFmtId="173" fontId="31" fillId="0" borderId="53" xfId="67" applyNumberFormat="1" applyFont="1" applyFill="1" applyBorder="1" applyAlignment="1" applyProtection="1">
      <alignment horizontal="center" vertical="center"/>
      <protection/>
    </xf>
    <xf numFmtId="0" fontId="14" fillId="0" borderId="45" xfId="63" applyFont="1" applyFill="1" applyBorder="1" applyAlignment="1" applyProtection="1">
      <alignment/>
      <protection/>
    </xf>
    <xf numFmtId="173" fontId="31" fillId="0" borderId="40" xfId="67" applyNumberFormat="1" applyFont="1" applyFill="1" applyBorder="1" applyAlignment="1" applyProtection="1">
      <alignment horizontal="center" vertical="center"/>
      <protection/>
    </xf>
    <xf numFmtId="173" fontId="31" fillId="0" borderId="11" xfId="67" applyNumberFormat="1" applyFont="1" applyFill="1" applyBorder="1" applyAlignment="1" applyProtection="1">
      <alignment horizontal="center" vertical="center"/>
      <protection/>
    </xf>
    <xf numFmtId="173" fontId="31" fillId="0" borderId="45" xfId="67" applyNumberFormat="1" applyFont="1" applyFill="1" applyBorder="1" applyAlignment="1" applyProtection="1">
      <alignment horizontal="center" vertical="center"/>
      <protection/>
    </xf>
    <xf numFmtId="0" fontId="14" fillId="0" borderId="45" xfId="63" applyFont="1" applyBorder="1" applyAlignment="1" applyProtection="1">
      <alignment/>
      <protection/>
    </xf>
    <xf numFmtId="0" fontId="14" fillId="0" borderId="45" xfId="63" applyFont="1" applyBorder="1" applyAlignment="1" applyProtection="1">
      <alignment vertical="center"/>
      <protection/>
    </xf>
    <xf numFmtId="0" fontId="14" fillId="0" borderId="45" xfId="63" applyFont="1" applyFill="1" applyBorder="1" applyAlignment="1" applyProtection="1">
      <alignment vertical="center"/>
      <protection/>
    </xf>
    <xf numFmtId="0" fontId="13" fillId="0" borderId="60" xfId="63" applyFont="1" applyBorder="1" applyAlignment="1" applyProtection="1">
      <alignment/>
      <protection/>
    </xf>
    <xf numFmtId="0" fontId="13" fillId="0" borderId="61" xfId="63" applyFont="1" applyBorder="1" applyAlignment="1" applyProtection="1">
      <alignment/>
      <protection/>
    </xf>
    <xf numFmtId="173" fontId="32" fillId="42" borderId="46" xfId="67" applyNumberFormat="1" applyFont="1" applyFill="1" applyBorder="1" applyAlignment="1" applyProtection="1">
      <alignment horizontal="center" vertical="center"/>
      <protection/>
    </xf>
    <xf numFmtId="173" fontId="32" fillId="42" borderId="49" xfId="67" applyNumberFormat="1" applyFont="1" applyFill="1" applyBorder="1" applyAlignment="1" applyProtection="1">
      <alignment horizontal="center" vertical="center"/>
      <protection/>
    </xf>
    <xf numFmtId="173" fontId="32" fillId="42" borderId="48" xfId="67" applyNumberFormat="1" applyFont="1" applyFill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>
      <alignment/>
      <protection/>
    </xf>
    <xf numFmtId="0" fontId="31" fillId="0" borderId="0" xfId="67" applyFont="1" applyFill="1" applyBorder="1" applyAlignment="1" applyProtection="1">
      <alignment horizontal="center" vertical="center"/>
      <protection/>
    </xf>
    <xf numFmtId="1" fontId="8" fillId="0" borderId="0" xfId="59" applyNumberFormat="1" applyFont="1" applyProtection="1">
      <alignment/>
      <protection/>
    </xf>
    <xf numFmtId="173" fontId="16" fillId="41" borderId="20" xfId="67" applyNumberFormat="1" applyFont="1" applyFill="1" applyBorder="1" applyAlignment="1" applyProtection="1">
      <alignment horizontal="center" vertical="center"/>
      <protection locked="0"/>
    </xf>
    <xf numFmtId="173" fontId="16" fillId="41" borderId="59" xfId="67" applyNumberFormat="1" applyFont="1" applyFill="1" applyBorder="1" applyAlignment="1" applyProtection="1">
      <alignment horizontal="center" vertical="center"/>
      <protection locked="0"/>
    </xf>
    <xf numFmtId="173" fontId="16" fillId="41" borderId="52" xfId="67" applyNumberFormat="1" applyFont="1" applyFill="1" applyBorder="1" applyAlignment="1" applyProtection="1">
      <alignment horizontal="center" vertical="center"/>
      <protection locked="0"/>
    </xf>
    <xf numFmtId="173" fontId="16" fillId="41" borderId="13" xfId="67" applyNumberFormat="1" applyFont="1" applyFill="1" applyBorder="1" applyAlignment="1" applyProtection="1">
      <alignment horizontal="center" vertical="center"/>
      <protection locked="0"/>
    </xf>
    <xf numFmtId="173" fontId="16" fillId="41" borderId="53" xfId="67" applyNumberFormat="1" applyFont="1" applyFill="1" applyBorder="1" applyAlignment="1" applyProtection="1">
      <alignment horizontal="center" vertical="center"/>
      <protection locked="0"/>
    </xf>
    <xf numFmtId="173" fontId="16" fillId="41" borderId="21" xfId="67" applyNumberFormat="1" applyFont="1" applyFill="1" applyBorder="1" applyAlignment="1" applyProtection="1">
      <alignment horizontal="center" vertical="center"/>
      <protection locked="0"/>
    </xf>
    <xf numFmtId="173" fontId="16" fillId="41" borderId="54" xfId="67" applyNumberFormat="1" applyFont="1" applyFill="1" applyBorder="1" applyAlignment="1" applyProtection="1">
      <alignment horizontal="center" vertical="center"/>
      <protection locked="0"/>
    </xf>
    <xf numFmtId="173" fontId="16" fillId="41" borderId="40" xfId="67" applyNumberFormat="1" applyFont="1" applyFill="1" applyBorder="1" applyAlignment="1" applyProtection="1">
      <alignment horizontal="center" vertical="center"/>
      <protection locked="0"/>
    </xf>
    <xf numFmtId="173" fontId="16" fillId="41" borderId="11" xfId="67" applyNumberFormat="1" applyFont="1" applyFill="1" applyBorder="1" applyAlignment="1" applyProtection="1">
      <alignment horizontal="center" vertical="center"/>
      <protection locked="0"/>
    </xf>
    <xf numFmtId="173" fontId="16" fillId="41" borderId="45" xfId="67" applyNumberFormat="1" applyFont="1" applyFill="1" applyBorder="1" applyAlignment="1" applyProtection="1">
      <alignment horizontal="center" vertical="center"/>
      <protection locked="0"/>
    </xf>
    <xf numFmtId="173" fontId="8" fillId="0" borderId="21" xfId="67" applyNumberFormat="1" applyFont="1" applyFill="1" applyBorder="1" applyAlignment="1" applyProtection="1">
      <alignment horizontal="center" vertical="center"/>
      <protection/>
    </xf>
    <xf numFmtId="173" fontId="8" fillId="0" borderId="11" xfId="67" applyNumberFormat="1" applyFont="1" applyFill="1" applyBorder="1" applyAlignment="1" applyProtection="1">
      <alignment horizontal="center" vertical="center"/>
      <protection/>
    </xf>
    <xf numFmtId="173" fontId="8" fillId="0" borderId="45" xfId="67" applyNumberFormat="1" applyFont="1" applyFill="1" applyBorder="1" applyAlignment="1" applyProtection="1">
      <alignment horizontal="center" vertical="center"/>
      <protection/>
    </xf>
    <xf numFmtId="173" fontId="8" fillId="0" borderId="40" xfId="67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14" fillId="0" borderId="51" xfId="63" applyFont="1" applyBorder="1" applyAlignment="1" applyProtection="1">
      <alignment vertical="center"/>
      <protection/>
    </xf>
    <xf numFmtId="173" fontId="16" fillId="41" borderId="16" xfId="67" applyNumberFormat="1" applyFont="1" applyFill="1" applyBorder="1" applyAlignment="1" applyProtection="1">
      <alignment horizontal="center" vertical="center"/>
      <protection locked="0"/>
    </xf>
    <xf numFmtId="173" fontId="16" fillId="41" borderId="10" xfId="67" applyNumberFormat="1" applyFont="1" applyFill="1" applyBorder="1" applyAlignment="1" applyProtection="1">
      <alignment horizontal="center" vertical="center"/>
      <protection locked="0"/>
    </xf>
    <xf numFmtId="173" fontId="16" fillId="41" borderId="51" xfId="67" applyNumberFormat="1" applyFont="1" applyFill="1" applyBorder="1" applyAlignment="1" applyProtection="1">
      <alignment horizontal="center" vertical="center"/>
      <protection locked="0"/>
    </xf>
    <xf numFmtId="173" fontId="16" fillId="41" borderId="50" xfId="67" applyNumberFormat="1" applyFont="1" applyFill="1" applyBorder="1" applyAlignment="1" applyProtection="1">
      <alignment horizontal="center" vertical="center"/>
      <protection locked="0"/>
    </xf>
    <xf numFmtId="0" fontId="13" fillId="0" borderId="62" xfId="63" applyFont="1" applyBorder="1" applyAlignment="1" applyProtection="1">
      <alignment/>
      <protection/>
    </xf>
    <xf numFmtId="0" fontId="13" fillId="0" borderId="63" xfId="63" applyFont="1" applyBorder="1" applyAlignment="1" applyProtection="1">
      <alignment/>
      <protection/>
    </xf>
    <xf numFmtId="173" fontId="13" fillId="42" borderId="64" xfId="67" applyNumberFormat="1" applyFont="1" applyFill="1" applyBorder="1" applyAlignment="1" applyProtection="1">
      <alignment horizontal="center" vertical="center"/>
      <protection/>
    </xf>
    <xf numFmtId="173" fontId="13" fillId="42" borderId="65" xfId="67" applyNumberFormat="1" applyFont="1" applyFill="1" applyBorder="1" applyAlignment="1" applyProtection="1">
      <alignment horizontal="center" vertical="center"/>
      <protection/>
    </xf>
    <xf numFmtId="173" fontId="13" fillId="42" borderId="66" xfId="67" applyNumberFormat="1" applyFont="1" applyFill="1" applyBorder="1" applyAlignment="1" applyProtection="1">
      <alignment horizontal="center" vertical="center"/>
      <protection/>
    </xf>
    <xf numFmtId="173" fontId="13" fillId="42" borderId="67" xfId="67" applyNumberFormat="1" applyFont="1" applyFill="1" applyBorder="1" applyAlignment="1" applyProtection="1">
      <alignment horizontal="center" vertical="center"/>
      <protection/>
    </xf>
    <xf numFmtId="173" fontId="13" fillId="42" borderId="47" xfId="67" applyNumberFormat="1" applyFont="1" applyFill="1" applyBorder="1" applyAlignment="1" applyProtection="1">
      <alignment horizontal="center" vertical="center"/>
      <protection/>
    </xf>
    <xf numFmtId="173" fontId="13" fillId="42" borderId="49" xfId="67" applyNumberFormat="1" applyFont="1" applyFill="1" applyBorder="1" applyAlignment="1" applyProtection="1">
      <alignment horizontal="center" vertical="center"/>
      <protection/>
    </xf>
    <xf numFmtId="173" fontId="13" fillId="42" borderId="48" xfId="67" applyNumberFormat="1" applyFont="1" applyFill="1" applyBorder="1" applyAlignment="1" applyProtection="1">
      <alignment horizontal="center" vertical="center"/>
      <protection/>
    </xf>
    <xf numFmtId="173" fontId="13" fillId="42" borderId="46" xfId="67" applyNumberFormat="1" applyFont="1" applyFill="1" applyBorder="1" applyAlignment="1" applyProtection="1">
      <alignment horizontal="center" vertical="center"/>
      <protection/>
    </xf>
    <xf numFmtId="0" fontId="8" fillId="0" borderId="45" xfId="67" applyFont="1" applyFill="1" applyBorder="1" applyAlignment="1" applyProtection="1">
      <alignment horizontal="left" vertical="center"/>
      <protection/>
    </xf>
    <xf numFmtId="1" fontId="8" fillId="0" borderId="45" xfId="59" applyNumberFormat="1" applyFont="1" applyBorder="1" applyProtection="1">
      <alignment/>
      <protection/>
    </xf>
    <xf numFmtId="173" fontId="8" fillId="42" borderId="21" xfId="67" applyNumberFormat="1" applyFont="1" applyFill="1" applyBorder="1" applyAlignment="1" applyProtection="1">
      <alignment horizontal="center" vertical="center"/>
      <protection/>
    </xf>
    <xf numFmtId="173" fontId="8" fillId="42" borderId="54" xfId="67" applyNumberFormat="1" applyFont="1" applyFill="1" applyBorder="1" applyAlignment="1" applyProtection="1">
      <alignment horizontal="center" vertical="center"/>
      <protection/>
    </xf>
    <xf numFmtId="173" fontId="8" fillId="42" borderId="40" xfId="67" applyNumberFormat="1" applyFont="1" applyFill="1" applyBorder="1" applyAlignment="1" applyProtection="1">
      <alignment horizontal="center" vertical="center"/>
      <protection/>
    </xf>
    <xf numFmtId="1" fontId="8" fillId="0" borderId="45" xfId="59" applyNumberFormat="1" applyFont="1" applyBorder="1" applyAlignment="1" applyProtection="1">
      <alignment/>
      <protection/>
    </xf>
    <xf numFmtId="0" fontId="18" fillId="0" borderId="46" xfId="0" applyFont="1" applyBorder="1" applyAlignment="1" applyProtection="1">
      <alignment vertical="center"/>
      <protection/>
    </xf>
    <xf numFmtId="1" fontId="8" fillId="0" borderId="48" xfId="59" applyNumberFormat="1" applyFont="1" applyBorder="1" applyProtection="1">
      <alignment/>
      <protection/>
    </xf>
    <xf numFmtId="173" fontId="8" fillId="42" borderId="47" xfId="67" applyNumberFormat="1" applyFont="1" applyFill="1" applyBorder="1" applyAlignment="1" applyProtection="1">
      <alignment horizontal="center" vertical="center"/>
      <protection/>
    </xf>
    <xf numFmtId="173" fontId="8" fillId="42" borderId="61" xfId="67" applyNumberFormat="1" applyFont="1" applyFill="1" applyBorder="1" applyAlignment="1" applyProtection="1">
      <alignment horizontal="center" vertical="center"/>
      <protection/>
    </xf>
    <xf numFmtId="173" fontId="8" fillId="42" borderId="46" xfId="67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 applyProtection="1">
      <alignment horizontal="centerContinuous"/>
      <protection/>
    </xf>
    <xf numFmtId="2" fontId="24" fillId="41" borderId="38" xfId="0" applyNumberFormat="1" applyFont="1" applyFill="1" applyBorder="1" applyAlignment="1" applyProtection="1">
      <alignment horizontal="center" vertical="center"/>
      <protection locked="0"/>
    </xf>
    <xf numFmtId="2" fontId="24" fillId="41" borderId="68" xfId="0" applyNumberFormat="1" applyFont="1" applyFill="1" applyBorder="1" applyAlignment="1" applyProtection="1">
      <alignment horizontal="center" vertical="center"/>
      <protection locked="0"/>
    </xf>
    <xf numFmtId="174" fontId="24" fillId="0" borderId="69" xfId="65" applyNumberFormat="1" applyFont="1" applyFill="1" applyBorder="1" applyProtection="1">
      <alignment/>
      <protection/>
    </xf>
    <xf numFmtId="2" fontId="24" fillId="0" borderId="38" xfId="0" applyNumberFormat="1" applyFont="1" applyFill="1" applyBorder="1" applyAlignment="1" applyProtection="1">
      <alignment horizontal="center" vertical="center"/>
      <protection/>
    </xf>
    <xf numFmtId="2" fontId="24" fillId="0" borderId="68" xfId="0" applyNumberFormat="1" applyFont="1" applyFill="1" applyBorder="1" applyAlignment="1" applyProtection="1">
      <alignment horizontal="center" vertical="center"/>
      <protection/>
    </xf>
    <xf numFmtId="2" fontId="24" fillId="41" borderId="42" xfId="0" applyNumberFormat="1" applyFont="1" applyFill="1" applyBorder="1" applyAlignment="1" applyProtection="1">
      <alignment horizontal="center" vertical="center"/>
      <protection locked="0"/>
    </xf>
    <xf numFmtId="2" fontId="24" fillId="41" borderId="69" xfId="0" applyNumberFormat="1" applyFont="1" applyFill="1" applyBorder="1" applyAlignment="1" applyProtection="1">
      <alignment horizontal="center" vertical="center"/>
      <protection locked="0"/>
    </xf>
    <xf numFmtId="0" fontId="15" fillId="0" borderId="24" xfId="68" applyFont="1" applyBorder="1">
      <alignment/>
      <protection/>
    </xf>
    <xf numFmtId="0" fontId="14" fillId="0" borderId="24" xfId="68" applyFont="1" applyBorder="1">
      <alignment/>
      <protection/>
    </xf>
    <xf numFmtId="0" fontId="14" fillId="0" borderId="16" xfId="68" applyFont="1" applyBorder="1">
      <alignment/>
      <protection/>
    </xf>
    <xf numFmtId="0" fontId="15" fillId="0" borderId="0" xfId="68" applyFont="1" applyBorder="1">
      <alignment/>
      <protection/>
    </xf>
    <xf numFmtId="0" fontId="14" fillId="0" borderId="0" xfId="68" applyFont="1" applyBorder="1">
      <alignment/>
      <protection/>
    </xf>
    <xf numFmtId="0" fontId="14" fillId="0" borderId="18" xfId="68" applyFont="1" applyBorder="1">
      <alignment/>
      <protection/>
    </xf>
    <xf numFmtId="0" fontId="15" fillId="0" borderId="18" xfId="68" applyFont="1" applyBorder="1" applyAlignment="1">
      <alignment horizontal="center" textRotation="90" wrapText="1"/>
      <protection/>
    </xf>
    <xf numFmtId="0" fontId="14" fillId="0" borderId="11" xfId="68" applyFont="1" applyBorder="1">
      <alignment/>
      <protection/>
    </xf>
    <xf numFmtId="0" fontId="14" fillId="0" borderId="11" xfId="68" applyFont="1" applyBorder="1" applyAlignment="1">
      <alignment horizontal="center"/>
      <protection/>
    </xf>
    <xf numFmtId="0" fontId="14" fillId="0" borderId="10" xfId="68" applyFont="1" applyBorder="1">
      <alignment/>
      <protection/>
    </xf>
    <xf numFmtId="0" fontId="14" fillId="0" borderId="10" xfId="68" applyFont="1" applyBorder="1" applyAlignment="1">
      <alignment horizontal="center"/>
      <protection/>
    </xf>
    <xf numFmtId="0" fontId="14" fillId="0" borderId="12" xfId="68" applyFont="1" applyBorder="1">
      <alignment/>
      <protection/>
    </xf>
    <xf numFmtId="182" fontId="14" fillId="0" borderId="12" xfId="68" applyNumberFormat="1" applyFont="1" applyBorder="1">
      <alignment/>
      <protection/>
    </xf>
    <xf numFmtId="37" fontId="14" fillId="0" borderId="18" xfId="68" applyNumberFormat="1" applyFont="1" applyBorder="1">
      <alignment/>
      <protection/>
    </xf>
    <xf numFmtId="183" fontId="14" fillId="44" borderId="13" xfId="68" applyNumberFormat="1" applyFont="1" applyFill="1" applyBorder="1">
      <alignment/>
      <protection/>
    </xf>
    <xf numFmtId="183" fontId="14" fillId="0" borderId="13" xfId="68" applyNumberFormat="1" applyFont="1" applyBorder="1">
      <alignment/>
      <protection/>
    </xf>
    <xf numFmtId="182" fontId="14" fillId="0" borderId="18" xfId="68" applyNumberFormat="1" applyFont="1" applyBorder="1">
      <alignment/>
      <protection/>
    </xf>
    <xf numFmtId="0" fontId="14" fillId="0" borderId="13" xfId="68" applyFont="1" applyBorder="1">
      <alignment/>
      <protection/>
    </xf>
    <xf numFmtId="182" fontId="14" fillId="0" borderId="13" xfId="68" applyNumberFormat="1" applyFont="1" applyBorder="1">
      <alignment/>
      <protection/>
    </xf>
    <xf numFmtId="182" fontId="14" fillId="0" borderId="0" xfId="68" applyNumberFormat="1" applyFont="1" applyBorder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37" fontId="15" fillId="0" borderId="0" xfId="0" applyNumberFormat="1" applyFont="1" applyFill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4" fillId="0" borderId="27" xfId="68" applyFont="1" applyBorder="1">
      <alignment/>
      <protection/>
    </xf>
    <xf numFmtId="182" fontId="14" fillId="0" borderId="27" xfId="68" applyNumberFormat="1" applyFont="1" applyBorder="1">
      <alignment/>
      <protection/>
    </xf>
    <xf numFmtId="37" fontId="14" fillId="0" borderId="20" xfId="68" applyNumberFormat="1" applyFont="1" applyBorder="1">
      <alignment/>
      <protection/>
    </xf>
    <xf numFmtId="0" fontId="33" fillId="0" borderId="11" xfId="68" applyFont="1" applyBorder="1" applyAlignment="1">
      <alignment wrapText="1"/>
      <protection/>
    </xf>
    <xf numFmtId="173" fontId="33" fillId="0" borderId="11" xfId="68" applyNumberFormat="1" applyFont="1" applyBorder="1" applyAlignment="1" applyProtection="1">
      <alignment horizontal="center" textRotation="90" wrapText="1"/>
      <protection/>
    </xf>
    <xf numFmtId="173" fontId="33" fillId="0" borderId="13" xfId="68" applyNumberFormat="1" applyFont="1" applyBorder="1" applyAlignment="1" applyProtection="1">
      <alignment horizontal="center" textRotation="90" wrapText="1"/>
      <protection/>
    </xf>
    <xf numFmtId="0" fontId="34" fillId="0" borderId="18" xfId="68" applyFont="1" applyBorder="1" applyAlignment="1">
      <alignment horizontal="center" textRotation="90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80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>
      <alignment/>
    </xf>
    <xf numFmtId="0" fontId="36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3" fillId="0" borderId="7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37" fillId="0" borderId="0" xfId="0" applyFont="1" applyBorder="1" applyAlignment="1">
      <alignment horizontal="left" vertical="center"/>
    </xf>
    <xf numFmtId="0" fontId="13" fillId="0" borderId="41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180" fontId="8" fillId="0" borderId="0" xfId="0" applyNumberFormat="1" applyFont="1" applyAlignment="1">
      <alignment horizontal="right"/>
    </xf>
    <xf numFmtId="180" fontId="16" fillId="41" borderId="71" xfId="0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180" fontId="16" fillId="41" borderId="39" xfId="0" applyNumberFormat="1" applyFont="1" applyFill="1" applyBorder="1" applyAlignment="1" applyProtection="1">
      <alignment horizontal="right"/>
      <protection locked="0"/>
    </xf>
    <xf numFmtId="180" fontId="16" fillId="41" borderId="52" xfId="0" applyNumberFormat="1" applyFont="1" applyFill="1" applyBorder="1" applyAlignment="1" applyProtection="1">
      <alignment horizontal="right"/>
      <protection locked="0"/>
    </xf>
    <xf numFmtId="180" fontId="8" fillId="33" borderId="72" xfId="0" applyNumberFormat="1" applyFont="1" applyFill="1" applyBorder="1" applyAlignment="1">
      <alignment horizontal="right"/>
    </xf>
    <xf numFmtId="180" fontId="16" fillId="41" borderId="7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180" fontId="16" fillId="41" borderId="7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wrapText="1"/>
      <protection/>
    </xf>
    <xf numFmtId="180" fontId="8" fillId="33" borderId="39" xfId="0" applyNumberFormat="1" applyFont="1" applyFill="1" applyBorder="1" applyAlignment="1">
      <alignment horizontal="right"/>
    </xf>
    <xf numFmtId="180" fontId="16" fillId="41" borderId="46" xfId="0" applyNumberFormat="1" applyFont="1" applyFill="1" applyBorder="1" applyAlignment="1" applyProtection="1">
      <alignment horizontal="right"/>
      <protection locked="0"/>
    </xf>
    <xf numFmtId="180" fontId="16" fillId="41" borderId="74" xfId="0" applyNumberFormat="1" applyFont="1" applyFill="1" applyBorder="1" applyAlignment="1" applyProtection="1">
      <alignment horizontal="right"/>
      <protection locked="0"/>
    </xf>
    <xf numFmtId="180" fontId="8" fillId="33" borderId="75" xfId="0" applyNumberFormat="1" applyFont="1" applyFill="1" applyBorder="1" applyAlignment="1">
      <alignment horizontal="right"/>
    </xf>
    <xf numFmtId="180" fontId="16" fillId="41" borderId="75" xfId="0" applyNumberFormat="1" applyFont="1" applyFill="1" applyBorder="1" applyAlignment="1" applyProtection="1">
      <alignment horizontal="right"/>
      <protection locked="0"/>
    </xf>
    <xf numFmtId="180" fontId="8" fillId="33" borderId="71" xfId="0" applyNumberFormat="1" applyFont="1" applyFill="1" applyBorder="1" applyAlignment="1">
      <alignment horizontal="right"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80" fontId="8" fillId="33" borderId="73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  <protection/>
    </xf>
    <xf numFmtId="180" fontId="16" fillId="41" borderId="76" xfId="0" applyNumberFormat="1" applyFont="1" applyFill="1" applyBorder="1" applyAlignment="1" applyProtection="1">
      <alignment horizontal="right"/>
      <protection locked="0"/>
    </xf>
    <xf numFmtId="180" fontId="16" fillId="41" borderId="40" xfId="0" applyNumberFormat="1" applyFont="1" applyFill="1" applyBorder="1" applyAlignment="1" applyProtection="1">
      <alignment horizontal="right"/>
      <protection locked="0"/>
    </xf>
    <xf numFmtId="0" fontId="8" fillId="0" borderId="63" xfId="0" applyFont="1" applyBorder="1" applyAlignment="1" applyProtection="1">
      <alignment horizontal="left" vertical="center" wrapText="1"/>
      <protection/>
    </xf>
    <xf numFmtId="180" fontId="8" fillId="33" borderId="70" xfId="0" applyNumberFormat="1" applyFont="1" applyFill="1" applyBorder="1" applyAlignment="1">
      <alignment horizontal="right"/>
    </xf>
    <xf numFmtId="180" fontId="16" fillId="41" borderId="70" xfId="0" applyNumberFormat="1" applyFont="1" applyFill="1" applyBorder="1" applyAlignment="1" applyProtection="1">
      <alignment horizontal="right"/>
      <protection locked="0"/>
    </xf>
    <xf numFmtId="180" fontId="16" fillId="41" borderId="6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center" wrapText="1"/>
      <protection/>
    </xf>
    <xf numFmtId="180" fontId="16" fillId="43" borderId="29" xfId="0" applyNumberFormat="1" applyFont="1" applyFill="1" applyBorder="1" applyAlignment="1">
      <alignment horizontal="right"/>
    </xf>
    <xf numFmtId="180" fontId="16" fillId="43" borderId="30" xfId="0" applyNumberFormat="1" applyFont="1" applyFill="1" applyBorder="1" applyAlignment="1">
      <alignment horizontal="right"/>
    </xf>
    <xf numFmtId="180" fontId="8" fillId="43" borderId="41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180" fontId="16" fillId="41" borderId="4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180" fontId="16" fillId="43" borderId="62" xfId="0" applyNumberFormat="1" applyFont="1" applyFill="1" applyBorder="1" applyAlignment="1">
      <alignment horizontal="right"/>
    </xf>
    <xf numFmtId="180" fontId="16" fillId="43" borderId="77" xfId="0" applyNumberFormat="1" applyFont="1" applyFill="1" applyBorder="1" applyAlignment="1">
      <alignment horizontal="right"/>
    </xf>
    <xf numFmtId="180" fontId="16" fillId="43" borderId="70" xfId="0" applyNumberFormat="1" applyFont="1" applyFill="1" applyBorder="1" applyAlignment="1">
      <alignment horizontal="right"/>
    </xf>
    <xf numFmtId="180" fontId="16" fillId="43" borderId="70" xfId="0" applyNumberFormat="1" applyFont="1" applyFill="1" applyBorder="1" applyAlignment="1" applyProtection="1">
      <alignment horizontal="right"/>
      <protection/>
    </xf>
    <xf numFmtId="180" fontId="8" fillId="43" borderId="70" xfId="0" applyNumberFormat="1" applyFont="1" applyFill="1" applyBorder="1" applyAlignment="1" applyProtection="1">
      <alignment horizontal="right"/>
      <protection/>
    </xf>
    <xf numFmtId="180" fontId="16" fillId="43" borderId="41" xfId="0" applyNumberFormat="1" applyFont="1" applyFill="1" applyBorder="1" applyAlignment="1">
      <alignment horizontal="right"/>
    </xf>
    <xf numFmtId="0" fontId="13" fillId="0" borderId="62" xfId="0" applyFont="1" applyBorder="1" applyAlignment="1">
      <alignment/>
    </xf>
    <xf numFmtId="0" fontId="13" fillId="0" borderId="77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0" xfId="0" applyFont="1" applyBorder="1" applyAlignment="1">
      <alignment/>
    </xf>
    <xf numFmtId="180" fontId="13" fillId="33" borderId="41" xfId="0" applyNumberFormat="1" applyFont="1" applyFill="1" applyBorder="1" applyAlignment="1">
      <alignment horizontal="right"/>
    </xf>
    <xf numFmtId="180" fontId="13" fillId="0" borderId="0" xfId="0" applyNumberFormat="1" applyFont="1" applyAlignment="1">
      <alignment horizontal="right"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37" fillId="0" borderId="62" xfId="0" applyFont="1" applyFill="1" applyBorder="1" applyAlignment="1" applyProtection="1">
      <alignment/>
      <protection/>
    </xf>
    <xf numFmtId="0" fontId="13" fillId="0" borderId="77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/>
    </xf>
    <xf numFmtId="0" fontId="8" fillId="0" borderId="55" xfId="0" applyFont="1" applyBorder="1" applyAlignment="1" applyProtection="1">
      <alignment/>
      <protection/>
    </xf>
    <xf numFmtId="0" fontId="8" fillId="0" borderId="56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180" fontId="16" fillId="41" borderId="59" xfId="0" applyNumberFormat="1" applyFont="1" applyFill="1" applyBorder="1" applyAlignment="1" applyProtection="1">
      <alignment horizontal="right"/>
      <protection locked="0"/>
    </xf>
    <xf numFmtId="0" fontId="8" fillId="0" borderId="60" xfId="0" applyFont="1" applyBorder="1" applyAlignment="1" applyProtection="1">
      <alignment/>
      <protection/>
    </xf>
    <xf numFmtId="0" fontId="8" fillId="0" borderId="78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180" fontId="16" fillId="41" borderId="79" xfId="0" applyNumberFormat="1" applyFont="1" applyFill="1" applyBorder="1" applyAlignment="1" applyProtection="1">
      <alignment horizontal="right"/>
      <protection locked="0"/>
    </xf>
    <xf numFmtId="0" fontId="37" fillId="0" borderId="29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36" fillId="0" borderId="23" xfId="0" applyFont="1" applyBorder="1" applyAlignment="1" applyProtection="1">
      <alignment/>
      <protection/>
    </xf>
    <xf numFmtId="0" fontId="36" fillId="0" borderId="28" xfId="0" applyFont="1" applyBorder="1" applyAlignment="1" applyProtection="1">
      <alignment/>
      <protection/>
    </xf>
    <xf numFmtId="0" fontId="8" fillId="0" borderId="28" xfId="0" applyFont="1" applyBorder="1" applyAlignment="1">
      <alignment horizontal="left"/>
    </xf>
    <xf numFmtId="0" fontId="14" fillId="0" borderId="33" xfId="0" applyFont="1" applyBorder="1" applyAlignment="1" applyProtection="1">
      <alignment/>
      <protection/>
    </xf>
    <xf numFmtId="0" fontId="36" fillId="0" borderId="30" xfId="0" applyFont="1" applyBorder="1" applyAlignment="1" applyProtection="1">
      <alignment/>
      <protection/>
    </xf>
    <xf numFmtId="0" fontId="36" fillId="0" borderId="32" xfId="0" applyFont="1" applyBorder="1" applyAlignment="1" applyProtection="1">
      <alignment/>
      <protection/>
    </xf>
    <xf numFmtId="0" fontId="13" fillId="0" borderId="32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/>
    </xf>
    <xf numFmtId="0" fontId="8" fillId="0" borderId="55" xfId="0" applyFont="1" applyBorder="1" applyAlignment="1" applyProtection="1">
      <alignment wrapText="1"/>
      <protection/>
    </xf>
    <xf numFmtId="0" fontId="8" fillId="0" borderId="56" xfId="0" applyFont="1" applyBorder="1" applyAlignment="1" applyProtection="1">
      <alignment wrapText="1"/>
      <protection/>
    </xf>
    <xf numFmtId="0" fontId="8" fillId="0" borderId="57" xfId="0" applyFont="1" applyBorder="1" applyAlignment="1" applyProtection="1">
      <alignment wrapText="1"/>
      <protection/>
    </xf>
    <xf numFmtId="0" fontId="8" fillId="0" borderId="29" xfId="0" applyFont="1" applyBorder="1" applyAlignment="1" applyProtection="1">
      <alignment wrapText="1"/>
      <protection/>
    </xf>
    <xf numFmtId="0" fontId="8" fillId="0" borderId="30" xfId="0" applyFont="1" applyBorder="1" applyAlignment="1" applyProtection="1">
      <alignment wrapText="1"/>
      <protection/>
    </xf>
    <xf numFmtId="0" fontId="8" fillId="0" borderId="80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8" fillId="0" borderId="54" xfId="0" applyFont="1" applyBorder="1" applyAlignment="1" applyProtection="1">
      <alignment wrapText="1"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24" xfId="0" applyFont="1" applyBorder="1" applyAlignment="1" applyProtection="1">
      <alignment wrapText="1"/>
      <protection/>
    </xf>
    <xf numFmtId="0" fontId="8" fillId="0" borderId="79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62" xfId="0" applyFont="1" applyBorder="1" applyAlignment="1" applyProtection="1">
      <alignment wrapText="1"/>
      <protection/>
    </xf>
    <xf numFmtId="0" fontId="13" fillId="0" borderId="77" xfId="0" applyFont="1" applyBorder="1" applyAlignment="1" applyProtection="1">
      <alignment wrapText="1"/>
      <protection/>
    </xf>
    <xf numFmtId="0" fontId="13" fillId="0" borderId="63" xfId="0" applyFont="1" applyBorder="1" applyAlignment="1" applyProtection="1">
      <alignment wrapText="1"/>
      <protection/>
    </xf>
    <xf numFmtId="180" fontId="13" fillId="33" borderId="6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4" fillId="0" borderId="62" xfId="0" applyFont="1" applyBorder="1" applyAlignment="1">
      <alignment/>
    </xf>
    <xf numFmtId="0" fontId="15" fillId="0" borderId="77" xfId="0" applyFont="1" applyBorder="1" applyAlignment="1" applyProtection="1">
      <alignment horizontal="center"/>
      <protection/>
    </xf>
    <xf numFmtId="0" fontId="14" fillId="0" borderId="63" xfId="0" applyFont="1" applyBorder="1" applyAlignment="1">
      <alignment/>
    </xf>
    <xf numFmtId="0" fontId="15" fillId="0" borderId="70" xfId="0" applyFont="1" applyBorder="1" applyAlignment="1" applyProtection="1">
      <alignment horizontal="center"/>
      <protection/>
    </xf>
    <xf numFmtId="0" fontId="15" fillId="0" borderId="7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29" fillId="36" borderId="62" xfId="0" applyFont="1" applyFill="1" applyBorder="1" applyAlignment="1">
      <alignment horizontal="left" vertical="center"/>
    </xf>
    <xf numFmtId="0" fontId="8" fillId="36" borderId="77" xfId="0" applyFont="1" applyFill="1" applyBorder="1" applyAlignment="1">
      <alignment horizontal="centerContinuous" vertical="center"/>
    </xf>
    <xf numFmtId="0" fontId="8" fillId="36" borderId="63" xfId="0" applyFont="1" applyFill="1" applyBorder="1" applyAlignment="1">
      <alignment horizontal="centerContinuous" vertical="center"/>
    </xf>
    <xf numFmtId="0" fontId="37" fillId="0" borderId="2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8" fillId="36" borderId="81" xfId="0" applyFont="1" applyFill="1" applyBorder="1" applyAlignment="1" applyProtection="1">
      <alignment horizontal="center" vertical="center" textRotation="90" wrapText="1"/>
      <protection/>
    </xf>
    <xf numFmtId="0" fontId="8" fillId="36" borderId="36" xfId="0" applyFont="1" applyFill="1" applyBorder="1" applyAlignment="1" applyProtection="1">
      <alignment horizontal="center" vertical="center" textRotation="90" wrapText="1"/>
      <protection/>
    </xf>
    <xf numFmtId="0" fontId="8" fillId="36" borderId="81" xfId="0" applyFont="1" applyFill="1" applyBorder="1" applyAlignment="1" applyProtection="1">
      <alignment horizontal="center" textRotation="90" wrapText="1"/>
      <protection/>
    </xf>
    <xf numFmtId="0" fontId="8" fillId="36" borderId="65" xfId="0" applyFont="1" applyFill="1" applyBorder="1" applyAlignment="1" applyProtection="1">
      <alignment horizontal="center" vertical="center" textRotation="90" wrapText="1"/>
      <protection/>
    </xf>
    <xf numFmtId="0" fontId="8" fillId="36" borderId="66" xfId="0" applyFont="1" applyFill="1" applyBorder="1" applyAlignment="1" applyProtection="1">
      <alignment horizontal="center" vertical="center" textRotation="90" wrapText="1"/>
      <protection/>
    </xf>
    <xf numFmtId="0" fontId="13" fillId="36" borderId="70" xfId="0" applyFont="1" applyFill="1" applyBorder="1" applyAlignment="1" applyProtection="1">
      <alignment horizontal="center" textRotation="90"/>
      <protection/>
    </xf>
    <xf numFmtId="0" fontId="13" fillId="0" borderId="2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8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13" fillId="43" borderId="18" xfId="0" applyFont="1" applyFill="1" applyBorder="1" applyAlignment="1">
      <alignment horizontal="center"/>
    </xf>
    <xf numFmtId="0" fontId="13" fillId="43" borderId="12" xfId="0" applyFont="1" applyFill="1" applyBorder="1" applyAlignment="1">
      <alignment horizontal="center"/>
    </xf>
    <xf numFmtId="0" fontId="13" fillId="43" borderId="0" xfId="0" applyFont="1" applyFill="1" applyBorder="1" applyAlignment="1">
      <alignment horizontal="center"/>
    </xf>
    <xf numFmtId="0" fontId="8" fillId="43" borderId="39" xfId="0" applyFont="1" applyFill="1" applyBorder="1" applyAlignment="1">
      <alignment/>
    </xf>
    <xf numFmtId="180" fontId="16" fillId="43" borderId="11" xfId="0" applyNumberFormat="1" applyFont="1" applyFill="1" applyBorder="1" applyAlignment="1" applyProtection="1">
      <alignment/>
      <protection/>
    </xf>
    <xf numFmtId="180" fontId="16" fillId="43" borderId="15" xfId="0" applyNumberFormat="1" applyFont="1" applyFill="1" applyBorder="1" applyAlignment="1" applyProtection="1">
      <alignment/>
      <protection/>
    </xf>
    <xf numFmtId="180" fontId="16" fillId="43" borderId="15" xfId="0" applyNumberFormat="1" applyFont="1" applyFill="1" applyBorder="1" applyAlignment="1">
      <alignment/>
    </xf>
    <xf numFmtId="180" fontId="8" fillId="33" borderId="39" xfId="0" applyNumberFormat="1" applyFont="1" applyFill="1" applyBorder="1" applyAlignment="1">
      <alignment/>
    </xf>
    <xf numFmtId="0" fontId="13" fillId="0" borderId="2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180" fontId="13" fillId="43" borderId="18" xfId="0" applyNumberFormat="1" applyFont="1" applyFill="1" applyBorder="1" applyAlignment="1">
      <alignment horizontal="center"/>
    </xf>
    <xf numFmtId="180" fontId="13" fillId="43" borderId="12" xfId="0" applyNumberFormat="1" applyFont="1" applyFill="1" applyBorder="1" applyAlignment="1">
      <alignment horizontal="center"/>
    </xf>
    <xf numFmtId="180" fontId="8" fillId="43" borderId="39" xfId="0" applyNumberFormat="1" applyFont="1" applyFill="1" applyBorder="1" applyAlignment="1">
      <alignment/>
    </xf>
    <xf numFmtId="0" fontId="8" fillId="0" borderId="80" xfId="0" applyFont="1" applyBorder="1" applyAlignment="1">
      <alignment horizontal="left" vertical="center" indent="1"/>
    </xf>
    <xf numFmtId="0" fontId="8" fillId="0" borderId="54" xfId="0" applyFont="1" applyBorder="1" applyAlignment="1">
      <alignment horizontal="left" vertical="center"/>
    </xf>
    <xf numFmtId="180" fontId="16" fillId="43" borderId="21" xfId="0" applyNumberFormat="1" applyFont="1" applyFill="1" applyBorder="1" applyAlignment="1" applyProtection="1">
      <alignment/>
      <protection/>
    </xf>
    <xf numFmtId="0" fontId="8" fillId="0" borderId="53" xfId="0" applyFont="1" applyBorder="1" applyAlignment="1">
      <alignment vertical="center"/>
    </xf>
    <xf numFmtId="180" fontId="16" fillId="43" borderId="21" xfId="0" applyNumberFormat="1" applyFont="1" applyFill="1" applyBorder="1" applyAlignment="1">
      <alignment/>
    </xf>
    <xf numFmtId="180" fontId="16" fillId="43" borderId="11" xfId="0" applyNumberFormat="1" applyFont="1" applyFill="1" applyBorder="1" applyAlignment="1">
      <alignment/>
    </xf>
    <xf numFmtId="0" fontId="13" fillId="0" borderId="40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0" fontId="13" fillId="33" borderId="21" xfId="0" applyNumberFormat="1" applyFont="1" applyFill="1" applyBorder="1" applyAlignment="1">
      <alignment/>
    </xf>
    <xf numFmtId="180" fontId="13" fillId="33" borderId="25" xfId="0" applyNumberFormat="1" applyFont="1" applyFill="1" applyBorder="1" applyAlignment="1">
      <alignment/>
    </xf>
    <xf numFmtId="180" fontId="13" fillId="33" borderId="39" xfId="0" applyNumberFormat="1" applyFont="1" applyFill="1" applyBorder="1" applyAlignment="1">
      <alignment/>
    </xf>
    <xf numFmtId="0" fontId="38" fillId="0" borderId="0" xfId="0" applyFont="1" applyAlignment="1" applyProtection="1" quotePrefix="1">
      <alignment/>
      <protection/>
    </xf>
    <xf numFmtId="0" fontId="8" fillId="0" borderId="40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/>
    </xf>
    <xf numFmtId="180" fontId="13" fillId="33" borderId="15" xfId="0" applyNumberFormat="1" applyFont="1" applyFill="1" applyBorder="1" applyAlignment="1">
      <alignment/>
    </xf>
    <xf numFmtId="0" fontId="8" fillId="0" borderId="0" xfId="0" applyFont="1" applyAlignment="1" applyProtection="1" quotePrefix="1">
      <alignment/>
      <protection/>
    </xf>
    <xf numFmtId="0" fontId="8" fillId="0" borderId="50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180" fontId="16" fillId="43" borderId="10" xfId="0" applyNumberFormat="1" applyFont="1" applyFill="1" applyBorder="1" applyAlignment="1">
      <alignment/>
    </xf>
    <xf numFmtId="180" fontId="8" fillId="43" borderId="10" xfId="0" applyNumberFormat="1" applyFont="1" applyFill="1" applyBorder="1" applyAlignment="1">
      <alignment/>
    </xf>
    <xf numFmtId="180" fontId="13" fillId="33" borderId="75" xfId="0" applyNumberFormat="1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0" fontId="13" fillId="0" borderId="67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180" fontId="13" fillId="33" borderId="64" xfId="0" applyNumberFormat="1" applyFont="1" applyFill="1" applyBorder="1" applyAlignment="1">
      <alignment/>
    </xf>
    <xf numFmtId="180" fontId="13" fillId="33" borderId="65" xfId="0" applyNumberFormat="1" applyFont="1" applyFill="1" applyBorder="1" applyAlignment="1">
      <alignment/>
    </xf>
    <xf numFmtId="180" fontId="13" fillId="33" borderId="82" xfId="0" applyNumberFormat="1" applyFont="1" applyFill="1" applyBorder="1" applyAlignment="1">
      <alignment/>
    </xf>
    <xf numFmtId="180" fontId="13" fillId="33" borderId="7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29" fillId="40" borderId="62" xfId="0" applyFont="1" applyFill="1" applyBorder="1" applyAlignment="1">
      <alignment horizontal="left" vertical="center"/>
    </xf>
    <xf numFmtId="0" fontId="13" fillId="40" borderId="77" xfId="0" applyFont="1" applyFill="1" applyBorder="1" applyAlignment="1">
      <alignment horizontal="left" vertical="center"/>
    </xf>
    <xf numFmtId="0" fontId="13" fillId="40" borderId="77" xfId="0" applyFont="1" applyFill="1" applyBorder="1" applyAlignment="1" applyProtection="1">
      <alignment vertical="center" wrapText="1"/>
      <protection/>
    </xf>
    <xf numFmtId="0" fontId="13" fillId="40" borderId="6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>
      <alignment vertical="center"/>
    </xf>
    <xf numFmtId="0" fontId="13" fillId="40" borderId="34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40" borderId="33" xfId="0" applyFont="1" applyFill="1" applyBorder="1" applyAlignment="1" applyProtection="1">
      <alignment vertical="center" wrapText="1"/>
      <protection/>
    </xf>
    <xf numFmtId="0" fontId="13" fillId="40" borderId="3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vertical="center"/>
    </xf>
    <xf numFmtId="0" fontId="8" fillId="0" borderId="83" xfId="0" applyFont="1" applyFill="1" applyBorder="1" applyAlignment="1" applyProtection="1">
      <alignment/>
      <protection/>
    </xf>
    <xf numFmtId="180" fontId="16" fillId="41" borderId="39" xfId="0" applyNumberFormat="1" applyFont="1" applyFill="1" applyBorder="1" applyAlignment="1" applyProtection="1">
      <alignment/>
      <protection locked="0"/>
    </xf>
    <xf numFmtId="180" fontId="8" fillId="33" borderId="72" xfId="0" applyNumberFormat="1" applyFont="1" applyFill="1" applyBorder="1" applyAlignment="1">
      <alignment/>
    </xf>
    <xf numFmtId="0" fontId="8" fillId="0" borderId="74" xfId="0" applyFont="1" applyFill="1" applyBorder="1" applyAlignment="1" applyProtection="1">
      <alignment/>
      <protection/>
    </xf>
    <xf numFmtId="180" fontId="16" fillId="41" borderId="73" xfId="0" applyNumberFormat="1" applyFont="1" applyFill="1" applyBorder="1" applyAlignment="1" applyProtection="1">
      <alignment/>
      <protection locked="0"/>
    </xf>
    <xf numFmtId="180" fontId="8" fillId="33" borderId="73" xfId="0" applyNumberFormat="1" applyFont="1" applyFill="1" applyBorder="1" applyAlignment="1">
      <alignment/>
    </xf>
    <xf numFmtId="0" fontId="8" fillId="0" borderId="15" xfId="0" applyFont="1" applyFill="1" applyBorder="1" applyAlignment="1" applyProtection="1">
      <alignment/>
      <protection/>
    </xf>
    <xf numFmtId="0" fontId="8" fillId="0" borderId="7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74" xfId="0" applyFont="1" applyBorder="1" applyAlignment="1" applyProtection="1">
      <alignment vertical="center"/>
      <protection/>
    </xf>
    <xf numFmtId="0" fontId="8" fillId="0" borderId="83" xfId="0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180" fontId="8" fillId="33" borderId="70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13" fillId="40" borderId="62" xfId="0" applyFont="1" applyFill="1" applyBorder="1" applyAlignment="1">
      <alignment horizontal="left" vertical="center"/>
    </xf>
    <xf numFmtId="0" fontId="0" fillId="40" borderId="77" xfId="0" applyFill="1" applyBorder="1" applyAlignment="1">
      <alignment/>
    </xf>
    <xf numFmtId="0" fontId="15" fillId="40" borderId="70" xfId="0" applyFont="1" applyFill="1" applyBorder="1" applyAlignment="1" applyProtection="1">
      <alignment horizontal="center" wrapText="1"/>
      <protection/>
    </xf>
    <xf numFmtId="0" fontId="29" fillId="0" borderId="62" xfId="0" applyFont="1" applyBorder="1" applyAlignment="1">
      <alignment vertical="center"/>
    </xf>
    <xf numFmtId="0" fontId="0" fillId="0" borderId="77" xfId="0" applyBorder="1" applyAlignment="1">
      <alignment/>
    </xf>
    <xf numFmtId="0" fontId="14" fillId="0" borderId="58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 wrapText="1"/>
      <protection/>
    </xf>
    <xf numFmtId="180" fontId="13" fillId="33" borderId="71" xfId="0" applyNumberFormat="1" applyFont="1" applyFill="1" applyBorder="1" applyAlignment="1">
      <alignment/>
    </xf>
    <xf numFmtId="0" fontId="14" fillId="0" borderId="80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60" xfId="0" applyFont="1" applyBorder="1" applyAlignment="1" applyProtection="1">
      <alignment/>
      <protection/>
    </xf>
    <xf numFmtId="0" fontId="14" fillId="0" borderId="78" xfId="0" applyFont="1" applyBorder="1" applyAlignment="1" applyProtection="1">
      <alignment wrapText="1"/>
      <protection/>
    </xf>
    <xf numFmtId="180" fontId="13" fillId="33" borderId="73" xfId="0" applyNumberFormat="1" applyFont="1" applyFill="1" applyBorder="1" applyAlignment="1">
      <alignment/>
    </xf>
    <xf numFmtId="0" fontId="15" fillId="0" borderId="62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 wrapText="1"/>
      <protection/>
    </xf>
    <xf numFmtId="0" fontId="14" fillId="0" borderId="26" xfId="0" applyFont="1" applyBorder="1" applyAlignment="1">
      <alignment/>
    </xf>
    <xf numFmtId="180" fontId="0" fillId="33" borderId="70" xfId="0" applyNumberFormat="1" applyFill="1" applyBorder="1" applyAlignment="1">
      <alignment/>
    </xf>
    <xf numFmtId="0" fontId="15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>
      <alignment/>
    </xf>
    <xf numFmtId="180" fontId="13" fillId="0" borderId="70" xfId="0" applyNumberFormat="1" applyFont="1" applyFill="1" applyBorder="1" applyAlignment="1">
      <alignment/>
    </xf>
    <xf numFmtId="180" fontId="8" fillId="0" borderId="39" xfId="0" applyNumberFormat="1" applyFont="1" applyFill="1" applyBorder="1" applyAlignment="1" applyProtection="1">
      <alignment/>
      <protection locked="0"/>
    </xf>
    <xf numFmtId="0" fontId="29" fillId="37" borderId="22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13" fillId="37" borderId="77" xfId="0" applyFont="1" applyFill="1" applyBorder="1" applyAlignment="1" applyProtection="1">
      <alignment horizontal="center" wrapText="1"/>
      <protection/>
    </xf>
    <xf numFmtId="0" fontId="13" fillId="37" borderId="63" xfId="0" applyFont="1" applyFill="1" applyBorder="1" applyAlignment="1" applyProtection="1">
      <alignment horizontal="center" wrapText="1"/>
      <protection/>
    </xf>
    <xf numFmtId="0" fontId="37" fillId="0" borderId="22" xfId="0" applyFont="1" applyFill="1" applyBorder="1" applyAlignment="1">
      <alignment/>
    </xf>
    <xf numFmtId="0" fontId="13" fillId="37" borderId="32" xfId="0" applyFont="1" applyFill="1" applyBorder="1" applyAlignment="1" applyProtection="1">
      <alignment horizontal="center" wrapText="1"/>
      <protection/>
    </xf>
    <xf numFmtId="0" fontId="13" fillId="37" borderId="41" xfId="0" applyFont="1" applyFill="1" applyBorder="1" applyAlignment="1" applyProtection="1">
      <alignment horizontal="center" wrapText="1"/>
      <protection/>
    </xf>
    <xf numFmtId="0" fontId="13" fillId="0" borderId="29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0" fontId="13" fillId="0" borderId="63" xfId="0" applyFont="1" applyBorder="1" applyAlignment="1">
      <alignment horizontal="center"/>
    </xf>
    <xf numFmtId="0" fontId="8" fillId="0" borderId="58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wrapText="1"/>
      <protection/>
    </xf>
    <xf numFmtId="0" fontId="8" fillId="0" borderId="80" xfId="0" applyFont="1" applyBorder="1" applyAlignment="1" applyProtection="1">
      <alignment horizontal="left"/>
      <protection/>
    </xf>
    <xf numFmtId="0" fontId="14" fillId="0" borderId="0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 applyProtection="1">
      <alignment/>
      <protection/>
    </xf>
    <xf numFmtId="0" fontId="15" fillId="0" borderId="70" xfId="0" applyFont="1" applyFill="1" applyBorder="1" applyAlignment="1">
      <alignment horizontal="center"/>
    </xf>
    <xf numFmtId="0" fontId="15" fillId="0" borderId="28" xfId="0" applyFont="1" applyFill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70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80" fontId="14" fillId="0" borderId="31" xfId="0" applyNumberFormat="1" applyFont="1" applyFill="1" applyBorder="1" applyAlignment="1">
      <alignment/>
    </xf>
    <xf numFmtId="0" fontId="14" fillId="0" borderId="77" xfId="0" applyFont="1" applyFill="1" applyBorder="1" applyAlignment="1">
      <alignment/>
    </xf>
    <xf numFmtId="180" fontId="14" fillId="0" borderId="70" xfId="0" applyNumberFormat="1" applyFont="1" applyFill="1" applyBorder="1" applyAlignment="1">
      <alignment horizontal="center" wrapText="1"/>
    </xf>
    <xf numFmtId="180" fontId="35" fillId="0" borderId="70" xfId="0" applyNumberFormat="1" applyFont="1" applyFill="1" applyBorder="1" applyAlignment="1">
      <alignment horizontal="center"/>
    </xf>
    <xf numFmtId="180" fontId="35" fillId="0" borderId="70" xfId="0" applyNumberFormat="1" applyFont="1" applyFill="1" applyBorder="1" applyAlignment="1">
      <alignment horizontal="center" textRotation="90" wrapText="1"/>
    </xf>
    <xf numFmtId="180" fontId="35" fillId="0" borderId="33" xfId="0" applyNumberFormat="1" applyFont="1" applyFill="1" applyBorder="1" applyAlignment="1">
      <alignment horizontal="center"/>
    </xf>
    <xf numFmtId="180" fontId="35" fillId="0" borderId="33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23" xfId="0" applyFont="1" applyBorder="1" applyAlignment="1" applyProtection="1">
      <alignment horizontal="left" indent="1"/>
      <protection/>
    </xf>
    <xf numFmtId="180" fontId="14" fillId="0" borderId="23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0" xfId="0" applyFont="1" applyBorder="1" applyAlignment="1" applyProtection="1">
      <alignment horizontal="left" indent="1"/>
      <protection/>
    </xf>
    <xf numFmtId="0" fontId="14" fillId="0" borderId="0" xfId="0" applyFont="1" applyBorder="1" applyAlignment="1">
      <alignment horizontal="left" indent="1"/>
    </xf>
    <xf numFmtId="180" fontId="35" fillId="0" borderId="0" xfId="0" applyNumberFormat="1" applyFont="1" applyFill="1" applyBorder="1" applyAlignment="1">
      <alignment/>
    </xf>
    <xf numFmtId="180" fontId="14" fillId="0" borderId="30" xfId="0" applyNumberFormat="1" applyFont="1" applyFill="1" applyBorder="1" applyAlignment="1">
      <alignment/>
    </xf>
    <xf numFmtId="180" fontId="35" fillId="0" borderId="30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Fill="1" applyBorder="1" applyAlignment="1">
      <alignment/>
    </xf>
    <xf numFmtId="180" fontId="35" fillId="0" borderId="23" xfId="0" applyNumberFormat="1" applyFont="1" applyFill="1" applyBorder="1" applyAlignment="1">
      <alignment/>
    </xf>
    <xf numFmtId="180" fontId="14" fillId="0" borderId="28" xfId="0" applyNumberFormat="1" applyFont="1" applyFill="1" applyBorder="1" applyAlignment="1">
      <alignment/>
    </xf>
    <xf numFmtId="180" fontId="15" fillId="0" borderId="31" xfId="0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indent="1"/>
      <protection/>
    </xf>
    <xf numFmtId="0" fontId="15" fillId="0" borderId="0" xfId="0" applyFont="1" applyBorder="1" applyAlignment="1" applyProtection="1">
      <alignment horizontal="right"/>
      <protection/>
    </xf>
    <xf numFmtId="184" fontId="15" fillId="0" borderId="10" xfId="0" applyNumberFormat="1" applyFont="1" applyBorder="1" applyAlignment="1">
      <alignment vertical="top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184" fontId="15" fillId="0" borderId="13" xfId="0" applyNumberFormat="1" applyFont="1" applyBorder="1" applyAlignment="1">
      <alignment/>
    </xf>
    <xf numFmtId="184" fontId="15" fillId="0" borderId="13" xfId="0" applyNumberFormat="1" applyFont="1" applyBorder="1" applyAlignment="1">
      <alignment horizontal="center"/>
    </xf>
    <xf numFmtId="184" fontId="15" fillId="0" borderId="19" xfId="0" applyNumberFormat="1" applyFont="1" applyBorder="1" applyAlignment="1">
      <alignment horizontal="center"/>
    </xf>
    <xf numFmtId="184" fontId="40" fillId="41" borderId="12" xfId="0" applyNumberFormat="1" applyFont="1" applyFill="1" applyBorder="1" applyAlignment="1" applyProtection="1">
      <alignment horizontal="left"/>
      <protection locked="0"/>
    </xf>
    <xf numFmtId="184" fontId="40" fillId="41" borderId="10" xfId="0" applyNumberFormat="1" applyFont="1" applyFill="1" applyBorder="1" applyAlignment="1" applyProtection="1">
      <alignment horizontal="left"/>
      <protection locked="0"/>
    </xf>
    <xf numFmtId="184" fontId="40" fillId="41" borderId="13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0" fontId="15" fillId="0" borderId="30" xfId="0" applyFont="1" applyBorder="1" applyAlignment="1" applyProtection="1">
      <alignment horizontal="right"/>
      <protection/>
    </xf>
    <xf numFmtId="0" fontId="19" fillId="0" borderId="30" xfId="0" applyFont="1" applyBorder="1" applyAlignment="1" applyProtection="1" quotePrefix="1">
      <alignment horizontal="center"/>
      <protection/>
    </xf>
    <xf numFmtId="0" fontId="19" fillId="0" borderId="30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right"/>
      <protection/>
    </xf>
    <xf numFmtId="0" fontId="15" fillId="0" borderId="0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180" fontId="23" fillId="0" borderId="31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180" fontId="14" fillId="0" borderId="0" xfId="0" applyNumberFormat="1" applyFont="1" applyFill="1" applyBorder="1" applyAlignment="1" applyProtection="1">
      <alignment/>
      <protection locked="0"/>
    </xf>
    <xf numFmtId="180" fontId="14" fillId="0" borderId="31" xfId="0" applyNumberFormat="1" applyFont="1" applyFill="1" applyBorder="1" applyAlignment="1" applyProtection="1">
      <alignment/>
      <protection locked="0"/>
    </xf>
    <xf numFmtId="180" fontId="15" fillId="0" borderId="31" xfId="0" applyNumberFormat="1" applyFont="1" applyFill="1" applyBorder="1" applyAlignment="1" applyProtection="1">
      <alignment/>
      <protection/>
    </xf>
    <xf numFmtId="1" fontId="8" fillId="0" borderId="0" xfId="58" applyNumberFormat="1" applyFont="1" applyProtection="1">
      <alignment/>
      <protection/>
    </xf>
    <xf numFmtId="1" fontId="8" fillId="0" borderId="0" xfId="58" applyNumberFormat="1" applyFont="1" applyAlignment="1" applyProtection="1">
      <alignment horizontal="center"/>
      <protection/>
    </xf>
    <xf numFmtId="0" fontId="8" fillId="0" borderId="0" xfId="64" applyFont="1" applyProtection="1">
      <alignment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8" fillId="0" borderId="22" xfId="67" applyFont="1" applyFill="1" applyBorder="1" applyAlignment="1" applyProtection="1">
      <alignment horizontal="left" vertical="center"/>
      <protection/>
    </xf>
    <xf numFmtId="0" fontId="13" fillId="0" borderId="22" xfId="67" applyFont="1" applyFill="1" applyBorder="1" applyAlignment="1" applyProtection="1">
      <alignment horizontal="center" vertical="center"/>
      <protection/>
    </xf>
    <xf numFmtId="0" fontId="13" fillId="0" borderId="22" xfId="67" applyFont="1" applyFill="1" applyBorder="1" applyAlignment="1" applyProtection="1">
      <alignment horizontal="left" vertical="center"/>
      <protection/>
    </xf>
    <xf numFmtId="1" fontId="8" fillId="0" borderId="33" xfId="64" applyNumberFormat="1" applyFont="1" applyFill="1" applyBorder="1" applyAlignment="1" applyProtection="1">
      <alignment horizontal="center"/>
      <protection/>
    </xf>
    <xf numFmtId="0" fontId="8" fillId="0" borderId="23" xfId="67" applyFont="1" applyFill="1" applyBorder="1" applyAlignment="1" applyProtection="1">
      <alignment horizontal="center" vertical="center"/>
      <protection/>
    </xf>
    <xf numFmtId="0" fontId="8" fillId="0" borderId="34" xfId="67" applyFont="1" applyFill="1" applyBorder="1" applyAlignment="1" applyProtection="1">
      <alignment horizontal="left" vertical="center" indent="1"/>
      <protection/>
    </xf>
    <xf numFmtId="0" fontId="0" fillId="0" borderId="34" xfId="0" applyBorder="1" applyAlignment="1">
      <alignment horizontal="center"/>
    </xf>
    <xf numFmtId="0" fontId="8" fillId="45" borderId="40" xfId="67" applyFont="1" applyFill="1" applyBorder="1" applyAlignment="1" applyProtection="1">
      <alignment horizontal="center" vertical="center"/>
      <protection/>
    </xf>
    <xf numFmtId="0" fontId="8" fillId="45" borderId="11" xfId="67" applyFont="1" applyFill="1" applyBorder="1" applyAlignment="1" applyProtection="1">
      <alignment horizontal="center" vertical="center"/>
      <protection/>
    </xf>
    <xf numFmtId="0" fontId="16" fillId="41" borderId="11" xfId="67" applyFont="1" applyFill="1" applyBorder="1" applyAlignment="1" applyProtection="1">
      <alignment horizontal="center" vertical="center"/>
      <protection locked="0"/>
    </xf>
    <xf numFmtId="174" fontId="16" fillId="0" borderId="41" xfId="64" applyNumberFormat="1" applyFont="1" applyFill="1" applyBorder="1" applyProtection="1">
      <alignment/>
      <protection/>
    </xf>
    <xf numFmtId="1" fontId="13" fillId="0" borderId="29" xfId="64" applyNumberFormat="1" applyFont="1" applyBorder="1" applyProtection="1">
      <alignment/>
      <protection/>
    </xf>
    <xf numFmtId="1" fontId="13" fillId="0" borderId="30" xfId="64" applyNumberFormat="1" applyFont="1" applyBorder="1" applyProtection="1">
      <alignment/>
      <protection/>
    </xf>
    <xf numFmtId="0" fontId="13" fillId="0" borderId="33" xfId="67" applyFont="1" applyFill="1" applyBorder="1" applyAlignment="1" applyProtection="1">
      <alignment horizontal="left" vertical="center"/>
      <protection/>
    </xf>
    <xf numFmtId="0" fontId="8" fillId="0" borderId="26" xfId="67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15" fillId="0" borderId="26" xfId="0" applyFont="1" applyFill="1" applyBorder="1" applyAlignment="1" applyProtection="1">
      <alignment/>
      <protection/>
    </xf>
    <xf numFmtId="174" fontId="14" fillId="33" borderId="64" xfId="0" applyNumberFormat="1" applyFont="1" applyFill="1" applyBorder="1" applyAlignment="1" applyProtection="1">
      <alignment horizontal="right"/>
      <protection/>
    </xf>
    <xf numFmtId="170" fontId="8" fillId="0" borderId="11" xfId="67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5" fillId="45" borderId="0" xfId="0" applyFont="1" applyFill="1" applyAlignment="1">
      <alignment vertical="center" wrapText="1"/>
    </xf>
    <xf numFmtId="170" fontId="5" fillId="0" borderId="10" xfId="0" applyNumberFormat="1" applyFont="1" applyBorder="1" applyAlignment="1">
      <alignment horizontal="center"/>
    </xf>
    <xf numFmtId="0" fontId="24" fillId="41" borderId="84" xfId="61" applyNumberFormat="1" applyFont="1" applyFill="1" applyBorder="1" applyAlignment="1" applyProtection="1">
      <alignment horizontal="left" vertical="center"/>
      <protection locked="0"/>
    </xf>
    <xf numFmtId="0" fontId="24" fillId="41" borderId="24" xfId="61" applyNumberFormat="1" applyFont="1" applyFill="1" applyBorder="1" applyAlignment="1" applyProtection="1">
      <alignment horizontal="left" vertical="center"/>
      <protection locked="0"/>
    </xf>
    <xf numFmtId="0" fontId="24" fillId="41" borderId="79" xfId="6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7" fillId="0" borderId="0" xfId="54" applyFont="1" applyAlignment="1" applyProtection="1">
      <alignment/>
      <protection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180" fontId="16" fillId="41" borderId="26" xfId="0" applyNumberFormat="1" applyFont="1" applyFill="1" applyBorder="1" applyAlignment="1" applyProtection="1">
      <alignment/>
      <protection locked="0"/>
    </xf>
    <xf numFmtId="180" fontId="8" fillId="0" borderId="31" xfId="0" applyNumberFormat="1" applyFont="1" applyFill="1" applyBorder="1" applyAlignment="1" applyProtection="1">
      <alignment/>
      <protection/>
    </xf>
    <xf numFmtId="180" fontId="0" fillId="0" borderId="3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8" fillId="0" borderId="26" xfId="0" applyNumberFormat="1" applyFont="1" applyFill="1" applyBorder="1" applyAlignment="1" applyProtection="1">
      <alignment/>
      <protection/>
    </xf>
    <xf numFmtId="180" fontId="16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80" fontId="8" fillId="0" borderId="29" xfId="0" applyNumberFormat="1" applyFont="1" applyFill="1" applyBorder="1" applyAlignment="1" applyProtection="1">
      <alignment/>
      <protection/>
    </xf>
    <xf numFmtId="180" fontId="13" fillId="33" borderId="85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180" fontId="0" fillId="0" borderId="30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80" fontId="16" fillId="41" borderId="34" xfId="0" applyNumberFormat="1" applyFont="1" applyFill="1" applyBorder="1" applyAlignment="1" applyProtection="1">
      <alignment/>
      <protection locked="0"/>
    </xf>
    <xf numFmtId="180" fontId="13" fillId="33" borderId="86" xfId="0" applyNumberFormat="1" applyFont="1" applyFill="1" applyBorder="1" applyAlignment="1" applyProtection="1">
      <alignment/>
      <protection locked="0"/>
    </xf>
    <xf numFmtId="184" fontId="42" fillId="41" borderId="12" xfId="0" applyNumberFormat="1" applyFont="1" applyFill="1" applyBorder="1" applyAlignment="1" applyProtection="1">
      <alignment horizontal="left"/>
      <protection locked="0"/>
    </xf>
    <xf numFmtId="180" fontId="16" fillId="41" borderId="17" xfId="0" applyNumberFormat="1" applyFont="1" applyFill="1" applyBorder="1" applyAlignment="1" applyProtection="1">
      <alignment horizontal="right"/>
      <protection locked="0"/>
    </xf>
    <xf numFmtId="180" fontId="8" fillId="33" borderId="12" xfId="66" applyNumberFormat="1" applyFont="1" applyFill="1" applyBorder="1">
      <alignment/>
      <protection/>
    </xf>
    <xf numFmtId="173" fontId="13" fillId="33" borderId="11" xfId="0" applyNumberFormat="1" applyFont="1" applyFill="1" applyBorder="1" applyAlignment="1">
      <alignment/>
    </xf>
    <xf numFmtId="180" fontId="13" fillId="33" borderId="39" xfId="0" applyNumberFormat="1" applyFont="1" applyFill="1" applyBorder="1" applyAlignment="1" applyProtection="1">
      <alignment/>
      <protection/>
    </xf>
    <xf numFmtId="180" fontId="16" fillId="43" borderId="33" xfId="0" applyNumberFormat="1" applyFont="1" applyFill="1" applyBorder="1" applyAlignment="1" applyProtection="1">
      <alignment/>
      <protection/>
    </xf>
    <xf numFmtId="180" fontId="16" fillId="41" borderId="41" xfId="0" applyNumberFormat="1" applyFont="1" applyFill="1" applyBorder="1" applyAlignment="1" applyProtection="1">
      <alignment/>
      <protection locked="0"/>
    </xf>
    <xf numFmtId="180" fontId="13" fillId="33" borderId="86" xfId="0" applyNumberFormat="1" applyFont="1" applyFill="1" applyBorder="1" applyAlignment="1" applyProtection="1">
      <alignment/>
      <protection/>
    </xf>
    <xf numFmtId="180" fontId="8" fillId="33" borderId="33" xfId="0" applyNumberFormat="1" applyFont="1" applyFill="1" applyBorder="1" applyAlignment="1" applyProtection="1">
      <alignment/>
      <protection/>
    </xf>
    <xf numFmtId="180" fontId="16" fillId="41" borderId="35" xfId="0" applyNumberFormat="1" applyFont="1" applyFill="1" applyBorder="1" applyAlignment="1" applyProtection="1">
      <alignment/>
      <protection locked="0"/>
    </xf>
    <xf numFmtId="180" fontId="16" fillId="41" borderId="81" xfId="0" applyNumberFormat="1" applyFont="1" applyFill="1" applyBorder="1" applyAlignment="1" applyProtection="1">
      <alignment/>
      <protection locked="0"/>
    </xf>
    <xf numFmtId="180" fontId="16" fillId="41" borderId="87" xfId="0" applyNumberFormat="1" applyFont="1" applyFill="1" applyBorder="1" applyAlignment="1" applyProtection="1">
      <alignment/>
      <protection locked="0"/>
    </xf>
    <xf numFmtId="180" fontId="8" fillId="33" borderId="41" xfId="0" applyNumberFormat="1" applyFont="1" applyFill="1" applyBorder="1" applyAlignment="1" applyProtection="1">
      <alignment/>
      <protection/>
    </xf>
    <xf numFmtId="180" fontId="16" fillId="41" borderId="42" xfId="0" applyNumberFormat="1" applyFont="1" applyFill="1" applyBorder="1" applyAlignment="1" applyProtection="1">
      <alignment/>
      <protection locked="0"/>
    </xf>
    <xf numFmtId="180" fontId="16" fillId="41" borderId="88" xfId="0" applyNumberFormat="1" applyFont="1" applyFill="1" applyBorder="1" applyAlignment="1" applyProtection="1">
      <alignment/>
      <protection locked="0"/>
    </xf>
    <xf numFmtId="180" fontId="16" fillId="41" borderId="69" xfId="0" applyNumberFormat="1" applyFont="1" applyFill="1" applyBorder="1" applyAlignment="1" applyProtection="1">
      <alignment/>
      <protection locked="0"/>
    </xf>
    <xf numFmtId="180" fontId="8" fillId="33" borderId="34" xfId="0" applyNumberFormat="1" applyFont="1" applyFill="1" applyBorder="1" applyAlignment="1" applyProtection="1">
      <alignment/>
      <protection/>
    </xf>
    <xf numFmtId="180" fontId="16" fillId="41" borderId="38" xfId="0" applyNumberFormat="1" applyFont="1" applyFill="1" applyBorder="1" applyAlignment="1" applyProtection="1">
      <alignment/>
      <protection locked="0"/>
    </xf>
    <xf numFmtId="180" fontId="16" fillId="41" borderId="18" xfId="0" applyNumberFormat="1" applyFont="1" applyFill="1" applyBorder="1" applyAlignment="1" applyProtection="1">
      <alignment/>
      <protection locked="0"/>
    </xf>
    <xf numFmtId="180" fontId="16" fillId="41" borderId="12" xfId="0" applyNumberFormat="1" applyFont="1" applyFill="1" applyBorder="1" applyAlignment="1" applyProtection="1">
      <alignment/>
      <protection locked="0"/>
    </xf>
    <xf numFmtId="180" fontId="16" fillId="41" borderId="31" xfId="0" applyNumberFormat="1" applyFont="1" applyFill="1" applyBorder="1" applyAlignment="1" applyProtection="1">
      <alignment/>
      <protection locked="0"/>
    </xf>
    <xf numFmtId="180" fontId="16" fillId="41" borderId="52" xfId="0" applyNumberFormat="1" applyFont="1" applyFill="1" applyBorder="1" applyAlignment="1" applyProtection="1">
      <alignment/>
      <protection locked="0"/>
    </xf>
    <xf numFmtId="180" fontId="16" fillId="41" borderId="20" xfId="0" applyNumberFormat="1" applyFont="1" applyFill="1" applyBorder="1" applyAlignment="1" applyProtection="1">
      <alignment/>
      <protection locked="0"/>
    </xf>
    <xf numFmtId="180" fontId="16" fillId="41" borderId="13" xfId="0" applyNumberFormat="1" applyFont="1" applyFill="1" applyBorder="1" applyAlignment="1" applyProtection="1">
      <alignment/>
      <protection locked="0"/>
    </xf>
    <xf numFmtId="180" fontId="16" fillId="41" borderId="59" xfId="0" applyNumberFormat="1" applyFont="1" applyFill="1" applyBorder="1" applyAlignment="1" applyProtection="1">
      <alignment/>
      <protection locked="0"/>
    </xf>
    <xf numFmtId="180" fontId="13" fillId="33" borderId="73" xfId="0" applyNumberFormat="1" applyFont="1" applyFill="1" applyBorder="1" applyAlignment="1" applyProtection="1">
      <alignment/>
      <protection/>
    </xf>
    <xf numFmtId="180" fontId="8" fillId="46" borderId="34" xfId="0" applyNumberFormat="1" applyFont="1" applyFill="1" applyBorder="1" applyAlignment="1" applyProtection="1">
      <alignment/>
      <protection/>
    </xf>
    <xf numFmtId="180" fontId="16" fillId="46" borderId="38" xfId="0" applyNumberFormat="1" applyFont="1" applyFill="1" applyBorder="1" applyAlignment="1" applyProtection="1">
      <alignment/>
      <protection/>
    </xf>
    <xf numFmtId="180" fontId="16" fillId="46" borderId="18" xfId="0" applyNumberFormat="1" applyFont="1" applyFill="1" applyBorder="1" applyAlignment="1" applyProtection="1">
      <alignment/>
      <protection/>
    </xf>
    <xf numFmtId="180" fontId="16" fillId="46" borderId="12" xfId="0" applyNumberFormat="1" applyFont="1" applyFill="1" applyBorder="1" applyAlignment="1" applyProtection="1">
      <alignment/>
      <protection/>
    </xf>
    <xf numFmtId="180" fontId="16" fillId="46" borderId="31" xfId="0" applyNumberFormat="1" applyFont="1" applyFill="1" applyBorder="1" applyAlignment="1" applyProtection="1">
      <alignment/>
      <protection/>
    </xf>
    <xf numFmtId="180" fontId="16" fillId="46" borderId="52" xfId="0" applyNumberFormat="1" applyFont="1" applyFill="1" applyBorder="1" applyAlignment="1" applyProtection="1">
      <alignment/>
      <protection/>
    </xf>
    <xf numFmtId="180" fontId="16" fillId="46" borderId="20" xfId="0" applyNumberFormat="1" applyFont="1" applyFill="1" applyBorder="1" applyAlignment="1" applyProtection="1">
      <alignment/>
      <protection/>
    </xf>
    <xf numFmtId="180" fontId="16" fillId="46" borderId="13" xfId="0" applyNumberFormat="1" applyFont="1" applyFill="1" applyBorder="1" applyAlignment="1" applyProtection="1">
      <alignment/>
      <protection/>
    </xf>
    <xf numFmtId="180" fontId="16" fillId="46" borderId="59" xfId="0" applyNumberFormat="1" applyFont="1" applyFill="1" applyBorder="1" applyAlignment="1" applyProtection="1">
      <alignment/>
      <protection/>
    </xf>
    <xf numFmtId="180" fontId="13" fillId="46" borderId="73" xfId="0" applyNumberFormat="1" applyFont="1" applyFill="1" applyBorder="1" applyAlignment="1" applyProtection="1">
      <alignment/>
      <protection/>
    </xf>
    <xf numFmtId="180" fontId="8" fillId="33" borderId="70" xfId="0" applyNumberFormat="1" applyFont="1" applyFill="1" applyBorder="1" applyAlignment="1" applyProtection="1">
      <alignment/>
      <protection/>
    </xf>
    <xf numFmtId="180" fontId="16" fillId="43" borderId="64" xfId="0" applyNumberFormat="1" applyFont="1" applyFill="1" applyBorder="1" applyAlignment="1" applyProtection="1">
      <alignment/>
      <protection/>
    </xf>
    <xf numFmtId="180" fontId="16" fillId="41" borderId="64" xfId="0" applyNumberFormat="1" applyFont="1" applyFill="1" applyBorder="1" applyAlignment="1" applyProtection="1">
      <alignment/>
      <protection locked="0"/>
    </xf>
    <xf numFmtId="180" fontId="16" fillId="43" borderId="65" xfId="0" applyNumberFormat="1" applyFont="1" applyFill="1" applyBorder="1" applyAlignment="1" applyProtection="1">
      <alignment/>
      <protection/>
    </xf>
    <xf numFmtId="180" fontId="16" fillId="43" borderId="63" xfId="0" applyNumberFormat="1" applyFont="1" applyFill="1" applyBorder="1" applyAlignment="1" applyProtection="1">
      <alignment/>
      <protection/>
    </xf>
    <xf numFmtId="180" fontId="16" fillId="41" borderId="70" xfId="0" applyNumberFormat="1" applyFont="1" applyFill="1" applyBorder="1" applyAlignment="1" applyProtection="1">
      <alignment/>
      <protection locked="0"/>
    </xf>
    <xf numFmtId="180" fontId="16" fillId="41" borderId="89" xfId="0" applyNumberFormat="1" applyFont="1" applyFill="1" applyBorder="1" applyAlignment="1" applyProtection="1">
      <alignment/>
      <protection locked="0"/>
    </xf>
    <xf numFmtId="0" fontId="16" fillId="41" borderId="90" xfId="0" applyFont="1" applyFill="1" applyBorder="1" applyAlignment="1" applyProtection="1">
      <alignment/>
      <protection locked="0"/>
    </xf>
    <xf numFmtId="180" fontId="16" fillId="41" borderId="72" xfId="0" applyNumberFormat="1" applyFont="1" applyFill="1" applyBorder="1" applyAlignment="1" applyProtection="1">
      <alignment/>
      <protection locked="0"/>
    </xf>
    <xf numFmtId="180" fontId="8" fillId="43" borderId="58" xfId="0" applyNumberFormat="1" applyFont="1" applyFill="1" applyBorder="1" applyAlignment="1" applyProtection="1">
      <alignment/>
      <protection locked="0"/>
    </xf>
    <xf numFmtId="180" fontId="16" fillId="41" borderId="11" xfId="0" applyNumberFormat="1" applyFont="1" applyFill="1" applyBorder="1" applyAlignment="1" applyProtection="1">
      <alignment/>
      <protection locked="0"/>
    </xf>
    <xf numFmtId="180" fontId="16" fillId="41" borderId="71" xfId="0" applyNumberFormat="1" applyFont="1" applyFill="1" applyBorder="1" applyAlignment="1" applyProtection="1">
      <alignment/>
      <protection locked="0"/>
    </xf>
    <xf numFmtId="180" fontId="16" fillId="41" borderId="75" xfId="0" applyNumberFormat="1" applyFont="1" applyFill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5" fillId="0" borderId="67" xfId="0" applyFont="1" applyBorder="1" applyAlignment="1" applyProtection="1">
      <alignment horizontal="center"/>
      <protection/>
    </xf>
    <xf numFmtId="0" fontId="15" fillId="0" borderId="82" xfId="0" applyFont="1" applyBorder="1" applyAlignment="1" applyProtection="1">
      <alignment horizontal="center"/>
      <protection/>
    </xf>
    <xf numFmtId="0" fontId="15" fillId="0" borderId="66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33" xfId="0" applyFont="1" applyBorder="1" applyAlignment="1" applyProtection="1">
      <alignment horizontal="center"/>
      <protection/>
    </xf>
    <xf numFmtId="0" fontId="15" fillId="0" borderId="76" xfId="0" applyFont="1" applyBorder="1" applyAlignment="1" applyProtection="1">
      <alignment horizontal="center"/>
      <protection/>
    </xf>
    <xf numFmtId="0" fontId="15" fillId="0" borderId="83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 horizontal="center"/>
      <protection/>
    </xf>
    <xf numFmtId="0" fontId="15" fillId="0" borderId="42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180" fontId="16" fillId="41" borderId="19" xfId="0" applyNumberFormat="1" applyFont="1" applyFill="1" applyBorder="1" applyAlignment="1" applyProtection="1">
      <alignment horizontal="right"/>
      <protection locked="0"/>
    </xf>
    <xf numFmtId="180" fontId="16" fillId="41" borderId="15" xfId="0" applyNumberFormat="1" applyFont="1" applyFill="1" applyBorder="1" applyAlignment="1" applyProtection="1">
      <alignment horizontal="right"/>
      <protection locked="0"/>
    </xf>
    <xf numFmtId="180" fontId="16" fillId="41" borderId="50" xfId="0" applyNumberFormat="1" applyFont="1" applyFill="1" applyBorder="1" applyAlignment="1" applyProtection="1">
      <alignment horizontal="right"/>
      <protection locked="0"/>
    </xf>
    <xf numFmtId="180" fontId="16" fillId="41" borderId="14" xfId="0" applyNumberFormat="1" applyFont="1" applyFill="1" applyBorder="1" applyAlignment="1" applyProtection="1">
      <alignment horizontal="right"/>
      <protection locked="0"/>
    </xf>
    <xf numFmtId="180" fontId="16" fillId="41" borderId="83" xfId="0" applyNumberFormat="1" applyFont="1" applyFill="1" applyBorder="1" applyAlignment="1" applyProtection="1">
      <alignment horizontal="right"/>
      <protection locked="0"/>
    </xf>
    <xf numFmtId="180" fontId="16" fillId="41" borderId="91" xfId="0" applyNumberFormat="1" applyFont="1" applyFill="1" applyBorder="1" applyAlignment="1" applyProtection="1">
      <alignment horizontal="right"/>
      <protection locked="0"/>
    </xf>
    <xf numFmtId="180" fontId="16" fillId="41" borderId="45" xfId="0" applyNumberFormat="1" applyFont="1" applyFill="1" applyBorder="1" applyAlignment="1" applyProtection="1">
      <alignment horizontal="right"/>
      <protection locked="0"/>
    </xf>
    <xf numFmtId="180" fontId="16" fillId="41" borderId="51" xfId="0" applyNumberFormat="1" applyFont="1" applyFill="1" applyBorder="1" applyAlignment="1" applyProtection="1">
      <alignment horizontal="right"/>
      <protection locked="0"/>
    </xf>
    <xf numFmtId="180" fontId="16" fillId="41" borderId="77" xfId="0" applyNumberFormat="1" applyFont="1" applyFill="1" applyBorder="1" applyAlignment="1" applyProtection="1">
      <alignment horizontal="right"/>
      <protection locked="0"/>
    </xf>
    <xf numFmtId="180" fontId="16" fillId="41" borderId="66" xfId="0" applyNumberFormat="1" applyFont="1" applyFill="1" applyBorder="1" applyAlignment="1" applyProtection="1">
      <alignment horizontal="right"/>
      <protection locked="0"/>
    </xf>
    <xf numFmtId="180" fontId="16" fillId="41" borderId="32" xfId="0" applyNumberFormat="1" applyFont="1" applyFill="1" applyBorder="1" applyAlignment="1" applyProtection="1">
      <alignment horizontal="right"/>
      <protection locked="0"/>
    </xf>
    <xf numFmtId="180" fontId="16" fillId="41" borderId="54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Alignment="1">
      <alignment/>
    </xf>
    <xf numFmtId="1" fontId="0" fillId="0" borderId="22" xfId="64" applyNumberFormat="1" applyFont="1" applyBorder="1" applyAlignment="1" applyProtection="1">
      <alignment wrapText="1"/>
      <protection/>
    </xf>
    <xf numFmtId="1" fontId="5" fillId="0" borderId="23" xfId="64" applyNumberFormat="1" applyFont="1" applyBorder="1" applyAlignment="1" applyProtection="1">
      <alignment wrapText="1"/>
      <protection/>
    </xf>
    <xf numFmtId="1" fontId="5" fillId="0" borderId="87" xfId="64" applyNumberFormat="1" applyFont="1" applyBorder="1" applyAlignment="1" applyProtection="1">
      <alignment horizontal="center" wrapText="1"/>
      <protection/>
    </xf>
    <xf numFmtId="1" fontId="5" fillId="0" borderId="55" xfId="64" applyNumberFormat="1" applyFont="1" applyBorder="1" applyAlignment="1" applyProtection="1">
      <alignment horizontal="centerContinuous" wrapText="1"/>
      <protection/>
    </xf>
    <xf numFmtId="1" fontId="5" fillId="0" borderId="26" xfId="64" applyNumberFormat="1" applyFont="1" applyBorder="1" applyAlignment="1" applyProtection="1">
      <alignment wrapText="1"/>
      <protection/>
    </xf>
    <xf numFmtId="1" fontId="5" fillId="0" borderId="0" xfId="64" applyNumberFormat="1" applyFont="1" applyBorder="1" applyAlignment="1" applyProtection="1">
      <alignment wrapText="1"/>
      <protection/>
    </xf>
    <xf numFmtId="1" fontId="5" fillId="0" borderId="68" xfId="64" applyNumberFormat="1" applyFont="1" applyBorder="1" applyAlignment="1" applyProtection="1">
      <alignment wrapText="1"/>
      <protection/>
    </xf>
    <xf numFmtId="1" fontId="5" fillId="0" borderId="50" xfId="64" applyNumberFormat="1" applyFont="1" applyBorder="1" applyAlignment="1" applyProtection="1">
      <alignment horizontal="center" vertical="center" wrapText="1"/>
      <protection/>
    </xf>
    <xf numFmtId="1" fontId="5" fillId="0" borderId="51" xfId="64" applyNumberFormat="1" applyFont="1" applyBorder="1" applyAlignment="1" applyProtection="1">
      <alignment horizontal="center" vertical="center" wrapText="1"/>
      <protection/>
    </xf>
    <xf numFmtId="1" fontId="5" fillId="0" borderId="0" xfId="64" applyNumberFormat="1" applyFont="1" applyFill="1" applyBorder="1" applyAlignment="1" applyProtection="1">
      <alignment horizontal="center" vertical="center" wrapText="1"/>
      <protection/>
    </xf>
    <xf numFmtId="1" fontId="5" fillId="0" borderId="29" xfId="64" applyNumberFormat="1" applyFont="1" applyBorder="1" applyProtection="1">
      <alignment/>
      <protection/>
    </xf>
    <xf numFmtId="1" fontId="5" fillId="0" borderId="30" xfId="64" applyNumberFormat="1" applyFont="1" applyBorder="1" applyProtection="1">
      <alignment/>
      <protection/>
    </xf>
    <xf numFmtId="1" fontId="5" fillId="0" borderId="69" xfId="64" applyNumberFormat="1" applyFont="1" applyBorder="1" applyProtection="1">
      <alignment/>
      <protection/>
    </xf>
    <xf numFmtId="1" fontId="5" fillId="0" borderId="42" xfId="64" applyNumberFormat="1" applyFont="1" applyBorder="1" applyAlignment="1" applyProtection="1">
      <alignment horizontal="center"/>
      <protection/>
    </xf>
    <xf numFmtId="1" fontId="5" fillId="0" borderId="69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5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87" xfId="65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/>
      <protection/>
    </xf>
    <xf numFmtId="0" fontId="5" fillId="0" borderId="0" xfId="64" applyFont="1" applyBorder="1" applyProtection="1">
      <alignment/>
      <protection/>
    </xf>
    <xf numFmtId="1" fontId="0" fillId="0" borderId="68" xfId="65" applyNumberFormat="1" applyFont="1" applyBorder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8" xfId="65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38" xfId="0" applyNumberFormat="1" applyFont="1" applyBorder="1" applyAlignment="1" applyProtection="1">
      <alignment horizontal="center" vertical="center"/>
      <protection/>
    </xf>
    <xf numFmtId="2" fontId="0" fillId="0" borderId="68" xfId="0" applyNumberFormat="1" applyFont="1" applyBorder="1" applyAlignment="1" applyProtection="1">
      <alignment horizontal="center" vertical="center"/>
      <protection/>
    </xf>
    <xf numFmtId="2" fontId="0" fillId="43" borderId="40" xfId="66" applyNumberFormat="1" applyFont="1" applyFill="1" applyBorder="1" applyAlignment="1" applyProtection="1">
      <alignment horizontal="center" vertical="center"/>
      <protection/>
    </xf>
    <xf numFmtId="2" fontId="0" fillId="43" borderId="45" xfId="66" applyNumberFormat="1" applyFont="1" applyFill="1" applyBorder="1" applyAlignment="1" applyProtection="1">
      <alignment horizontal="center" vertical="center"/>
      <protection/>
    </xf>
    <xf numFmtId="2" fontId="0" fillId="0" borderId="42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0" fontId="0" fillId="0" borderId="22" xfId="64" applyFont="1" applyBorder="1" applyProtection="1">
      <alignment/>
      <protection/>
    </xf>
    <xf numFmtId="0" fontId="5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8" xfId="65" applyFont="1" applyFill="1" applyBorder="1" applyAlignment="1" applyProtection="1">
      <alignment horizontal="center"/>
      <protection/>
    </xf>
    <xf numFmtId="2" fontId="0" fillId="0" borderId="46" xfId="0" applyNumberFormat="1" applyFont="1" applyBorder="1" applyAlignment="1" applyProtection="1">
      <alignment horizontal="center" vertical="center"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1" fontId="0" fillId="0" borderId="22" xfId="64" applyNumberFormat="1" applyFont="1" applyFill="1" applyBorder="1" applyProtection="1">
      <alignment/>
      <protection/>
    </xf>
    <xf numFmtId="0" fontId="5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87" xfId="65" applyFont="1" applyBorder="1" applyAlignment="1" applyProtection="1">
      <alignment horizont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87" xfId="0" applyNumberFormat="1" applyFont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5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9" xfId="65" applyFont="1" applyBorder="1" applyAlignment="1" applyProtection="1">
      <alignment horizontal="center"/>
      <protection/>
    </xf>
    <xf numFmtId="0" fontId="5" fillId="0" borderId="76" xfId="61" applyFont="1" applyBorder="1" applyAlignment="1" applyProtection="1">
      <alignment horizontal="centerContinuous" vertical="center"/>
      <protection/>
    </xf>
    <xf numFmtId="0" fontId="5" fillId="0" borderId="92" xfId="61" applyFont="1" applyBorder="1" applyAlignment="1" applyProtection="1">
      <alignment horizontal="centerContinuous" vertical="center"/>
      <protection/>
    </xf>
    <xf numFmtId="0" fontId="5" fillId="0" borderId="91" xfId="61" applyFont="1" applyBorder="1" applyAlignment="1" applyProtection="1">
      <alignment horizontal="centerContinuous" vertical="center"/>
      <protection/>
    </xf>
    <xf numFmtId="0" fontId="5" fillId="0" borderId="40" xfId="61" applyFont="1" applyBorder="1" applyAlignment="1" applyProtection="1">
      <alignment horizontal="center" vertical="center" wrapText="1"/>
      <protection/>
    </xf>
    <xf numFmtId="0" fontId="5" fillId="0" borderId="11" xfId="61" applyFont="1" applyBorder="1" applyAlignment="1" applyProtection="1">
      <alignment horizontal="center" vertical="center" wrapText="1"/>
      <protection/>
    </xf>
    <xf numFmtId="0" fontId="5" fillId="0" borderId="45" xfId="61" applyFont="1" applyBorder="1" applyAlignment="1" applyProtection="1">
      <alignment horizontal="center" vertical="center" wrapText="1"/>
      <protection/>
    </xf>
    <xf numFmtId="0" fontId="0" fillId="0" borderId="58" xfId="61" applyFont="1" applyBorder="1" applyAlignment="1" applyProtection="1">
      <alignment horizontal="center" vertical="center"/>
      <protection/>
    </xf>
    <xf numFmtId="0" fontId="0" fillId="0" borderId="27" xfId="61" applyFont="1" applyBorder="1" applyAlignment="1" applyProtection="1">
      <alignment horizontal="center" vertical="center"/>
      <protection/>
    </xf>
    <xf numFmtId="0" fontId="0" fillId="0" borderId="59" xfId="61" applyFont="1" applyBorder="1" applyAlignment="1" applyProtection="1">
      <alignment horizontal="center" vertical="center"/>
      <protection/>
    </xf>
    <xf numFmtId="0" fontId="0" fillId="0" borderId="58" xfId="61" applyFont="1" applyFill="1" applyBorder="1" applyAlignment="1" applyProtection="1">
      <alignment horizontal="center" vertical="center"/>
      <protection/>
    </xf>
    <xf numFmtId="0" fontId="0" fillId="0" borderId="59" xfId="61" applyFont="1" applyFill="1" applyBorder="1" applyAlignment="1" applyProtection="1">
      <alignment horizontal="center" vertical="center"/>
      <protection/>
    </xf>
    <xf numFmtId="173" fontId="0" fillId="42" borderId="40" xfId="61" applyNumberFormat="1" applyFont="1" applyFill="1" applyBorder="1" applyAlignment="1" applyProtection="1">
      <alignment horizontal="center" vertical="center"/>
      <protection/>
    </xf>
    <xf numFmtId="173" fontId="0" fillId="42" borderId="11" xfId="61" applyNumberFormat="1" applyFont="1" applyFill="1" applyBorder="1" applyAlignment="1" applyProtection="1">
      <alignment horizontal="center" vertical="center"/>
      <protection/>
    </xf>
    <xf numFmtId="173" fontId="0" fillId="42" borderId="45" xfId="61" applyNumberFormat="1" applyFont="1" applyFill="1" applyBorder="1" applyAlignment="1" applyProtection="1">
      <alignment horizontal="center" vertical="center"/>
      <protection/>
    </xf>
    <xf numFmtId="170" fontId="0" fillId="42" borderId="45" xfId="71" applyNumberFormat="1" applyFont="1" applyFill="1" applyBorder="1" applyAlignment="1" applyProtection="1">
      <alignment horizontal="center" vertical="center"/>
      <protection/>
    </xf>
    <xf numFmtId="173" fontId="0" fillId="42" borderId="46" xfId="61" applyNumberFormat="1" applyFont="1" applyFill="1" applyBorder="1" applyAlignment="1" applyProtection="1">
      <alignment horizontal="center" vertical="center"/>
      <protection/>
    </xf>
    <xf numFmtId="173" fontId="0" fillId="42" borderId="49" xfId="61" applyNumberFormat="1" applyFont="1" applyFill="1" applyBorder="1" applyAlignment="1" applyProtection="1">
      <alignment horizontal="center" vertical="center"/>
      <protection/>
    </xf>
    <xf numFmtId="173" fontId="0" fillId="42" borderId="48" xfId="61" applyNumberFormat="1" applyFont="1" applyFill="1" applyBorder="1" applyAlignment="1" applyProtection="1">
      <alignment horizontal="center" vertical="center"/>
      <protection/>
    </xf>
    <xf numFmtId="170" fontId="0" fillId="42" borderId="48" xfId="71" applyNumberFormat="1" applyFont="1" applyFill="1" applyBorder="1" applyAlignment="1" applyProtection="1">
      <alignment horizontal="center" vertical="center"/>
      <protection/>
    </xf>
    <xf numFmtId="170" fontId="0" fillId="42" borderId="45" xfId="72" applyNumberFormat="1" applyFont="1" applyFill="1" applyBorder="1" applyAlignment="1" applyProtection="1">
      <alignment horizontal="center" vertical="center"/>
      <protection/>
    </xf>
    <xf numFmtId="0" fontId="13" fillId="0" borderId="40" xfId="67" applyFont="1" applyFill="1" applyBorder="1" applyAlignment="1" applyProtection="1">
      <alignment vertical="center"/>
      <protection/>
    </xf>
    <xf numFmtId="170" fontId="0" fillId="42" borderId="48" xfId="72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Protection="1">
      <alignment/>
      <protection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76" xfId="59" applyFont="1" applyBorder="1" applyAlignment="1" applyProtection="1">
      <alignment horizontal="centerContinuous" vertical="center"/>
      <protection/>
    </xf>
    <xf numFmtId="0" fontId="0" fillId="0" borderId="92" xfId="59" applyFont="1" applyBorder="1" applyAlignment="1" applyProtection="1">
      <alignment horizontal="centerContinuous" vertical="center"/>
      <protection/>
    </xf>
    <xf numFmtId="0" fontId="0" fillId="0" borderId="91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40" xfId="59" applyFont="1" applyBorder="1" applyAlignment="1" applyProtection="1">
      <alignment horizontal="center"/>
      <protection/>
    </xf>
    <xf numFmtId="0" fontId="0" fillId="0" borderId="11" xfId="59" applyFont="1" applyBorder="1" applyAlignment="1" applyProtection="1">
      <alignment horizontal="center"/>
      <protection/>
    </xf>
    <xf numFmtId="0" fontId="0" fillId="0" borderId="45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0" fontId="0" fillId="0" borderId="0" xfId="59" applyFont="1" applyBorder="1" applyProtection="1">
      <alignment/>
      <protection/>
    </xf>
    <xf numFmtId="0" fontId="5" fillId="0" borderId="22" xfId="61" applyFont="1" applyBorder="1" applyProtection="1">
      <alignment/>
      <protection/>
    </xf>
    <xf numFmtId="0" fontId="5" fillId="0" borderId="55" xfId="61" applyFont="1" applyBorder="1" applyAlignment="1" applyProtection="1">
      <alignment horizontal="centerContinuous" vertical="center"/>
      <protection/>
    </xf>
    <xf numFmtId="0" fontId="5" fillId="0" borderId="56" xfId="61" applyFont="1" applyBorder="1" applyAlignment="1" applyProtection="1">
      <alignment horizontal="centerContinuous" vertical="center"/>
      <protection/>
    </xf>
    <xf numFmtId="0" fontId="0" fillId="0" borderId="57" xfId="61" applyFont="1" applyBorder="1" applyAlignment="1" applyProtection="1">
      <alignment horizontal="centerContinuous" vertical="center"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5" fillId="0" borderId="26" xfId="61" applyFont="1" applyBorder="1" applyProtection="1">
      <alignment/>
      <protection/>
    </xf>
    <xf numFmtId="0" fontId="5" fillId="0" borderId="58" xfId="61" applyFont="1" applyBorder="1" applyProtection="1">
      <alignment/>
      <protection/>
    </xf>
    <xf numFmtId="0" fontId="5" fillId="0" borderId="52" xfId="61" applyFont="1" applyFill="1" applyBorder="1" applyAlignment="1" applyProtection="1">
      <alignment horizontal="center" vertical="center"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 indent="1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5" fillId="0" borderId="29" xfId="61" applyFont="1" applyBorder="1" applyAlignment="1" applyProtection="1">
      <alignment horizontal="left" indent="1"/>
      <protection/>
    </xf>
    <xf numFmtId="173" fontId="5" fillId="42" borderId="46" xfId="61" applyNumberFormat="1" applyFont="1" applyFill="1" applyBorder="1" applyAlignment="1" applyProtection="1">
      <alignment horizontal="center" vertical="center"/>
      <protection/>
    </xf>
    <xf numFmtId="173" fontId="5" fillId="42" borderId="47" xfId="61" applyNumberFormat="1" applyFont="1" applyFill="1" applyBorder="1" applyAlignment="1" applyProtection="1">
      <alignment horizontal="center" vertical="center"/>
      <protection/>
    </xf>
    <xf numFmtId="173" fontId="5" fillId="42" borderId="48" xfId="61" applyNumberFormat="1" applyFont="1" applyFill="1" applyBorder="1" applyAlignment="1" applyProtection="1">
      <alignment horizontal="center" vertical="center"/>
      <protection/>
    </xf>
    <xf numFmtId="173" fontId="5" fillId="42" borderId="49" xfId="61" applyNumberFormat="1" applyFont="1" applyFill="1" applyBorder="1" applyAlignment="1" applyProtection="1">
      <alignment horizontal="center" vertical="center"/>
      <protection/>
    </xf>
    <xf numFmtId="170" fontId="5" fillId="42" borderId="48" xfId="71" applyNumberFormat="1" applyFont="1" applyFill="1" applyBorder="1" applyAlignment="1" applyProtection="1">
      <alignment horizontal="center" vertical="center"/>
      <protection/>
    </xf>
    <xf numFmtId="0" fontId="5" fillId="0" borderId="35" xfId="61" applyFont="1" applyBorder="1" applyProtection="1">
      <alignment/>
      <protection/>
    </xf>
    <xf numFmtId="0" fontId="0" fillId="0" borderId="38" xfId="61" applyFont="1" applyBorder="1" applyProtection="1">
      <alignment/>
      <protection/>
    </xf>
    <xf numFmtId="0" fontId="5" fillId="0" borderId="21" xfId="61" applyFont="1" applyBorder="1" applyAlignment="1" applyProtection="1">
      <alignment horizontal="center" vertical="center" wrapText="1"/>
      <protection/>
    </xf>
    <xf numFmtId="0" fontId="0" fillId="0" borderId="52" xfId="61" applyFont="1" applyBorder="1" applyProtection="1">
      <alignment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0" fontId="5" fillId="0" borderId="26" xfId="61" applyFont="1" applyBorder="1" applyAlignment="1" applyProtection="1">
      <alignment horizontal="left" wrapText="1"/>
      <protection/>
    </xf>
    <xf numFmtId="173" fontId="5" fillId="42" borderId="40" xfId="61" applyNumberFormat="1" applyFont="1" applyFill="1" applyBorder="1" applyAlignment="1" applyProtection="1">
      <alignment horizontal="center" vertical="center"/>
      <protection/>
    </xf>
    <xf numFmtId="173" fontId="5" fillId="42" borderId="21" xfId="61" applyNumberFormat="1" applyFont="1" applyFill="1" applyBorder="1" applyAlignment="1" applyProtection="1">
      <alignment horizontal="center" vertical="center"/>
      <protection/>
    </xf>
    <xf numFmtId="173" fontId="5" fillId="42" borderId="45" xfId="61" applyNumberFormat="1" applyFont="1" applyFill="1" applyBorder="1" applyAlignment="1" applyProtection="1">
      <alignment horizontal="center" vertical="center"/>
      <protection/>
    </xf>
    <xf numFmtId="173" fontId="5" fillId="42" borderId="11" xfId="61" applyNumberFormat="1" applyFont="1" applyFill="1" applyBorder="1" applyAlignment="1" applyProtection="1">
      <alignment horizontal="center" vertical="center"/>
      <protection/>
    </xf>
    <xf numFmtId="170" fontId="5" fillId="42" borderId="45" xfId="61" applyNumberFormat="1" applyFont="1" applyFill="1" applyBorder="1" applyAlignment="1" applyProtection="1">
      <alignment horizontal="center" vertical="center"/>
      <protection/>
    </xf>
    <xf numFmtId="173" fontId="0" fillId="0" borderId="26" xfId="61" applyNumberFormat="1" applyFont="1" applyFill="1" applyBorder="1" applyAlignment="1" applyProtection="1">
      <alignment horizontal="center" vertical="center"/>
      <protection/>
    </xf>
    <xf numFmtId="173" fontId="0" fillId="0" borderId="0" xfId="61" applyNumberFormat="1" applyFont="1" applyFill="1" applyBorder="1" applyAlignment="1" applyProtection="1">
      <alignment horizontal="center" vertical="center"/>
      <protection/>
    </xf>
    <xf numFmtId="173" fontId="0" fillId="0" borderId="31" xfId="61" applyNumberFormat="1" applyFont="1" applyFill="1" applyBorder="1" applyAlignment="1" applyProtection="1">
      <alignment horizontal="center" vertical="center"/>
      <protection/>
    </xf>
    <xf numFmtId="173" fontId="0" fillId="0" borderId="0" xfId="61" applyNumberFormat="1" applyFont="1" applyBorder="1" applyAlignment="1" applyProtection="1">
      <alignment horizontal="center" vertical="center"/>
      <protection/>
    </xf>
    <xf numFmtId="173" fontId="0" fillId="0" borderId="31" xfId="61" applyNumberFormat="1" applyFont="1" applyBorder="1" applyAlignment="1" applyProtection="1">
      <alignment horizontal="center" vertical="center"/>
      <protection/>
    </xf>
    <xf numFmtId="170" fontId="0" fillId="0" borderId="31" xfId="71" applyNumberFormat="1" applyFont="1" applyBorder="1" applyAlignment="1" applyProtection="1">
      <alignment horizontal="center" vertical="center"/>
      <protection/>
    </xf>
    <xf numFmtId="0" fontId="5" fillId="0" borderId="29" xfId="61" applyFont="1" applyBorder="1" applyAlignment="1" applyProtection="1">
      <alignment horizontal="left" wrapText="1"/>
      <protection/>
    </xf>
    <xf numFmtId="0" fontId="0" fillId="0" borderId="35" xfId="61" applyFont="1" applyBorder="1" applyProtection="1">
      <alignment/>
      <protection/>
    </xf>
    <xf numFmtId="0" fontId="5" fillId="0" borderId="83" xfId="61" applyFont="1" applyBorder="1" applyAlignment="1" applyProtection="1">
      <alignment horizontal="centerContinuous" vertical="center"/>
      <protection/>
    </xf>
    <xf numFmtId="0" fontId="0" fillId="0" borderId="76" xfId="61" applyFont="1" applyBorder="1" applyAlignment="1" applyProtection="1">
      <alignment horizontal="centerContinuous"/>
      <protection/>
    </xf>
    <xf numFmtId="0" fontId="0" fillId="0" borderId="91" xfId="61" applyFont="1" applyBorder="1" applyAlignment="1" applyProtection="1">
      <alignment horizontal="centerContinuous"/>
      <protection/>
    </xf>
    <xf numFmtId="0" fontId="5" fillId="0" borderId="22" xfId="61" applyFont="1" applyBorder="1" applyAlignment="1" applyProtection="1">
      <alignment horizontal="centerContinuous"/>
      <protection/>
    </xf>
    <xf numFmtId="0" fontId="0" fillId="0" borderId="23" xfId="61" applyFont="1" applyBorder="1" applyAlignment="1" applyProtection="1">
      <alignment horizontal="centerContinuous"/>
      <protection/>
    </xf>
    <xf numFmtId="0" fontId="0" fillId="0" borderId="28" xfId="61" applyFont="1" applyBorder="1" applyAlignment="1" applyProtection="1">
      <alignment horizontal="centerContinuous"/>
      <protection/>
    </xf>
    <xf numFmtId="0" fontId="5" fillId="0" borderId="11" xfId="61" applyFont="1" applyBorder="1" applyAlignment="1" applyProtection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/>
      <protection/>
    </xf>
    <xf numFmtId="0" fontId="5" fillId="0" borderId="40" xfId="61" applyFont="1" applyBorder="1" applyAlignment="1" applyProtection="1">
      <alignment horizontal="center" vertical="center"/>
      <protection/>
    </xf>
    <xf numFmtId="0" fontId="5" fillId="0" borderId="45" xfId="61" applyFont="1" applyBorder="1" applyAlignment="1" applyProtection="1">
      <alignment horizontal="center" vertical="center"/>
      <protection/>
    </xf>
    <xf numFmtId="0" fontId="0" fillId="0" borderId="0" xfId="61" applyFont="1" applyProtection="1">
      <alignment/>
      <protection locked="0"/>
    </xf>
    <xf numFmtId="0" fontId="0" fillId="0" borderId="50" xfId="61" applyFont="1" applyBorder="1" applyProtection="1">
      <alignment/>
      <protection locked="0"/>
    </xf>
    <xf numFmtId="173" fontId="0" fillId="42" borderId="45" xfId="61" applyNumberFormat="1" applyFont="1" applyFill="1" applyBorder="1" applyAlignment="1" applyProtection="1">
      <alignment horizontal="center" vertical="center"/>
      <protection locked="0"/>
    </xf>
    <xf numFmtId="0" fontId="0" fillId="0" borderId="38" xfId="61" applyFont="1" applyBorder="1" applyProtection="1">
      <alignment/>
      <protection locked="0"/>
    </xf>
    <xf numFmtId="173" fontId="0" fillId="42" borderId="51" xfId="61" applyNumberFormat="1" applyFont="1" applyFill="1" applyBorder="1" applyAlignment="1" applyProtection="1">
      <alignment horizontal="center" vertical="center"/>
      <protection locked="0"/>
    </xf>
    <xf numFmtId="0" fontId="0" fillId="0" borderId="26" xfId="61" applyFont="1" applyBorder="1" applyProtection="1">
      <alignment/>
      <protection locked="0"/>
    </xf>
    <xf numFmtId="0" fontId="24" fillId="41" borderId="24" xfId="61" applyFont="1" applyFill="1" applyBorder="1" applyAlignment="1" applyProtection="1">
      <alignment horizontal="center" vertical="center"/>
      <protection locked="0"/>
    </xf>
    <xf numFmtId="172" fontId="24" fillId="41" borderId="84" xfId="61" applyNumberFormat="1" applyFont="1" applyFill="1" applyBorder="1" applyAlignment="1" applyProtection="1">
      <alignment horizontal="center" vertical="center"/>
      <protection locked="0"/>
    </xf>
    <xf numFmtId="173" fontId="0" fillId="42" borderId="14" xfId="61" applyNumberFormat="1" applyFont="1" applyFill="1" applyBorder="1" applyAlignment="1" applyProtection="1">
      <alignment horizontal="center" vertical="center"/>
      <protection locked="0"/>
    </xf>
    <xf numFmtId="172" fontId="24" fillId="41" borderId="79" xfId="61" applyNumberFormat="1" applyFont="1" applyFill="1" applyBorder="1" applyAlignment="1" applyProtection="1">
      <alignment horizontal="center" vertical="center"/>
      <protection locked="0"/>
    </xf>
    <xf numFmtId="172" fontId="24" fillId="41" borderId="24" xfId="61" applyNumberFormat="1" applyFont="1" applyFill="1" applyBorder="1" applyAlignment="1" applyProtection="1">
      <alignment horizontal="center" vertical="center"/>
      <protection locked="0"/>
    </xf>
    <xf numFmtId="0" fontId="0" fillId="42" borderId="60" xfId="61" applyFont="1" applyFill="1" applyBorder="1" applyProtection="1">
      <alignment/>
      <protection locked="0"/>
    </xf>
    <xf numFmtId="0" fontId="0" fillId="42" borderId="78" xfId="61" applyFont="1" applyFill="1" applyBorder="1" applyAlignment="1" applyProtection="1">
      <alignment horizontal="center" vertical="center"/>
      <protection locked="0"/>
    </xf>
    <xf numFmtId="0" fontId="0" fillId="43" borderId="49" xfId="61" applyFont="1" applyFill="1" applyBorder="1" applyAlignment="1" applyProtection="1">
      <alignment horizontal="center" vertical="center"/>
      <protection locked="0"/>
    </xf>
    <xf numFmtId="1" fontId="0" fillId="42" borderId="61" xfId="61" applyNumberFormat="1" applyFont="1" applyFill="1" applyBorder="1" applyAlignment="1" applyProtection="1">
      <alignment horizontal="center" vertical="center"/>
      <protection locked="0"/>
    </xf>
    <xf numFmtId="173" fontId="0" fillId="42" borderId="60" xfId="61" applyNumberFormat="1" applyFont="1" applyFill="1" applyBorder="1" applyAlignment="1" applyProtection="1">
      <alignment horizontal="center" vertical="center"/>
      <protection locked="0"/>
    </xf>
    <xf numFmtId="173" fontId="0" fillId="42" borderId="49" xfId="61" applyNumberFormat="1" applyFont="1" applyFill="1" applyBorder="1" applyAlignment="1" applyProtection="1">
      <alignment horizontal="center" vertical="center"/>
      <protection locked="0"/>
    </xf>
    <xf numFmtId="2" fontId="0" fillId="42" borderId="49" xfId="61" applyNumberFormat="1" applyFont="1" applyFill="1" applyBorder="1" applyAlignment="1" applyProtection="1">
      <alignment horizontal="center" vertical="center"/>
      <protection locked="0"/>
    </xf>
    <xf numFmtId="2" fontId="0" fillId="42" borderId="61" xfId="61" applyNumberFormat="1" applyFont="1" applyFill="1" applyBorder="1" applyAlignment="1" applyProtection="1">
      <alignment horizontal="center" vertical="center"/>
      <protection locked="0"/>
    </xf>
    <xf numFmtId="2" fontId="0" fillId="42" borderId="60" xfId="61" applyNumberFormat="1" applyFont="1" applyFill="1" applyBorder="1" applyAlignment="1" applyProtection="1">
      <alignment horizontal="center" vertical="center"/>
      <protection locked="0"/>
    </xf>
    <xf numFmtId="2" fontId="0" fillId="42" borderId="61" xfId="61" applyNumberFormat="1" applyFont="1" applyFill="1" applyBorder="1" applyAlignment="1" applyProtection="1">
      <alignment horizontal="center"/>
      <protection locked="0"/>
    </xf>
    <xf numFmtId="0" fontId="0" fillId="43" borderId="60" xfId="61" applyFont="1" applyFill="1" applyBorder="1" applyProtection="1">
      <alignment/>
      <protection locked="0"/>
    </xf>
    <xf numFmtId="0" fontId="0" fillId="43" borderId="78" xfId="61" applyFont="1" applyFill="1" applyBorder="1" applyProtection="1">
      <alignment/>
      <protection locked="0"/>
    </xf>
    <xf numFmtId="0" fontId="0" fillId="43" borderId="61" xfId="61" applyFont="1" applyFill="1" applyBorder="1" applyProtection="1">
      <alignment/>
      <protection locked="0"/>
    </xf>
    <xf numFmtId="0" fontId="0" fillId="0" borderId="0" xfId="61" applyFont="1" applyAlignment="1" applyProtection="1">
      <alignment horizontal="center"/>
      <protection/>
    </xf>
    <xf numFmtId="0" fontId="0" fillId="0" borderId="87" xfId="61" applyFont="1" applyBorder="1" applyAlignment="1" applyProtection="1">
      <alignment horizontal="center"/>
      <protection/>
    </xf>
    <xf numFmtId="0" fontId="5" fillId="0" borderId="53" xfId="61" applyFont="1" applyBorder="1" applyAlignment="1" applyProtection="1">
      <alignment horizontal="center" vertical="center"/>
      <protection/>
    </xf>
    <xf numFmtId="0" fontId="5" fillId="0" borderId="52" xfId="61" applyFont="1" applyBorder="1" applyAlignment="1" applyProtection="1">
      <alignment horizontal="center" vertical="center" wrapText="1"/>
      <protection/>
    </xf>
    <xf numFmtId="0" fontId="5" fillId="0" borderId="13" xfId="61" applyFont="1" applyBorder="1" applyAlignment="1" applyProtection="1">
      <alignment horizontal="center" vertical="center" wrapText="1"/>
      <protection/>
    </xf>
    <xf numFmtId="0" fontId="5" fillId="0" borderId="53" xfId="61" applyFont="1" applyBorder="1" applyAlignment="1" applyProtection="1">
      <alignment horizontal="center" vertical="center" wrapText="1"/>
      <protection/>
    </xf>
    <xf numFmtId="0" fontId="5" fillId="0" borderId="20" xfId="61" applyFont="1" applyBorder="1" applyAlignment="1" applyProtection="1">
      <alignment horizontal="center" vertical="center" wrapText="1"/>
      <protection/>
    </xf>
    <xf numFmtId="0" fontId="0" fillId="0" borderId="26" xfId="61" applyFont="1" applyBorder="1" applyProtection="1">
      <alignment/>
      <protection/>
    </xf>
    <xf numFmtId="0" fontId="0" fillId="0" borderId="68" xfId="61" applyNumberFormat="1" applyFont="1" applyBorder="1" applyAlignment="1" applyProtection="1">
      <alignment horizontal="center" wrapText="1"/>
      <protection/>
    </xf>
    <xf numFmtId="173" fontId="0" fillId="0" borderId="52" xfId="61" applyNumberFormat="1" applyFont="1" applyFill="1" applyBorder="1" applyAlignment="1" applyProtection="1">
      <alignment horizontal="center" vertical="center"/>
      <protection/>
    </xf>
    <xf numFmtId="173" fontId="0" fillId="0" borderId="20" xfId="61" applyNumberFormat="1" applyFont="1" applyFill="1" applyBorder="1" applyAlignment="1" applyProtection="1">
      <alignment horizontal="center" vertical="center"/>
      <protection/>
    </xf>
    <xf numFmtId="173" fontId="0" fillId="0" borderId="53" xfId="61" applyNumberFormat="1" applyFont="1" applyFill="1" applyBorder="1" applyAlignment="1" applyProtection="1">
      <alignment horizontal="center" vertical="center"/>
      <protection/>
    </xf>
    <xf numFmtId="173" fontId="0" fillId="0" borderId="13" xfId="61" applyNumberFormat="1" applyFont="1" applyFill="1" applyBorder="1" applyAlignment="1" applyProtection="1">
      <alignment horizontal="center" vertical="center"/>
      <protection/>
    </xf>
    <xf numFmtId="173" fontId="0" fillId="0" borderId="40" xfId="61" applyNumberFormat="1" applyFont="1" applyFill="1" applyBorder="1" applyAlignment="1" applyProtection="1">
      <alignment horizontal="center" vertical="center"/>
      <protection/>
    </xf>
    <xf numFmtId="173" fontId="0" fillId="0" borderId="21" xfId="61" applyNumberFormat="1" applyFont="1" applyFill="1" applyBorder="1" applyAlignment="1" applyProtection="1">
      <alignment horizontal="center" vertical="center"/>
      <protection/>
    </xf>
    <xf numFmtId="173" fontId="0" fillId="0" borderId="45" xfId="61" applyNumberFormat="1" applyFont="1" applyFill="1" applyBorder="1" applyAlignment="1" applyProtection="1">
      <alignment horizontal="center" vertical="center"/>
      <protection/>
    </xf>
    <xf numFmtId="173" fontId="0" fillId="0" borderId="11" xfId="6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Protection="1">
      <alignment/>
      <protection/>
    </xf>
    <xf numFmtId="0" fontId="0" fillId="0" borderId="69" xfId="61" applyNumberFormat="1" applyFont="1" applyBorder="1" applyAlignment="1" applyProtection="1">
      <alignment horizontal="center" wrapText="1"/>
      <protection/>
    </xf>
    <xf numFmtId="0" fontId="0" fillId="0" borderId="0" xfId="61" applyFont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indent="1"/>
      <protection/>
    </xf>
    <xf numFmtId="0" fontId="0" fillId="0" borderId="68" xfId="61" applyFont="1" applyFill="1" applyBorder="1" applyAlignment="1" applyProtection="1">
      <alignment horizont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wrapText="1"/>
      <protection/>
    </xf>
    <xf numFmtId="173" fontId="0" fillId="41" borderId="40" xfId="61" applyNumberFormat="1" applyFont="1" applyFill="1" applyBorder="1" applyAlignment="1" applyProtection="1">
      <alignment horizontal="center" vertical="center"/>
      <protection locked="0"/>
    </xf>
    <xf numFmtId="0" fontId="0" fillId="0" borderId="38" xfId="61" applyFont="1" applyBorder="1" applyAlignment="1" applyProtection="1">
      <alignment horizontal="left" wrapText="1" indent="1"/>
      <protection/>
    </xf>
    <xf numFmtId="0" fontId="5" fillId="0" borderId="38" xfId="61" applyFont="1" applyBorder="1" applyAlignment="1" applyProtection="1">
      <alignment horizontal="left"/>
      <protection/>
    </xf>
    <xf numFmtId="0" fontId="0" fillId="0" borderId="68" xfId="61" applyNumberFormat="1" applyFont="1" applyBorder="1" applyAlignment="1" applyProtection="1">
      <alignment horizontal="center"/>
      <protection/>
    </xf>
    <xf numFmtId="0" fontId="0" fillId="0" borderId="84" xfId="61" applyFont="1" applyBorder="1" applyAlignment="1" applyProtection="1">
      <alignment horizontal="center" vertical="center"/>
      <protection/>
    </xf>
    <xf numFmtId="0" fontId="0" fillId="0" borderId="24" xfId="61" applyFont="1" applyBorder="1" applyAlignment="1" applyProtection="1">
      <alignment horizontal="center" vertical="center"/>
      <protection/>
    </xf>
    <xf numFmtId="0" fontId="0" fillId="0" borderId="79" xfId="6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center" vertical="center"/>
      <protection/>
    </xf>
    <xf numFmtId="0" fontId="0" fillId="0" borderId="58" xfId="61" applyFont="1" applyBorder="1" applyProtection="1">
      <alignment/>
      <protection/>
    </xf>
    <xf numFmtId="0" fontId="0" fillId="0" borderId="27" xfId="61" applyFont="1" applyBorder="1" applyProtection="1">
      <alignment/>
      <protection/>
    </xf>
    <xf numFmtId="0" fontId="0" fillId="0" borderId="59" xfId="61" applyFont="1" applyBorder="1" applyProtection="1">
      <alignment/>
      <protection/>
    </xf>
    <xf numFmtId="0" fontId="0" fillId="0" borderId="37" xfId="61" applyFont="1" applyBorder="1" applyAlignment="1" applyProtection="1">
      <alignment horizontal="center"/>
      <protection/>
    </xf>
    <xf numFmtId="0" fontId="5" fillId="0" borderId="19" xfId="61" applyFont="1" applyBorder="1" applyAlignment="1" applyProtection="1">
      <alignment horizontal="center" vertical="center"/>
      <protection/>
    </xf>
    <xf numFmtId="0" fontId="5" fillId="0" borderId="38" xfId="61" applyFont="1" applyBorder="1" applyProtection="1">
      <alignment/>
      <protection/>
    </xf>
    <xf numFmtId="0" fontId="5" fillId="0" borderId="17" xfId="61" applyFont="1" applyBorder="1" applyAlignment="1" applyProtection="1">
      <alignment horizontal="center"/>
      <protection/>
    </xf>
    <xf numFmtId="0" fontId="5" fillId="0" borderId="84" xfId="61" applyFont="1" applyBorder="1" applyAlignment="1" applyProtection="1">
      <alignment horizontal="center" vertical="center"/>
      <protection/>
    </xf>
    <xf numFmtId="0" fontId="5" fillId="0" borderId="24" xfId="61" applyFont="1" applyBorder="1" applyAlignment="1" applyProtection="1">
      <alignment horizontal="center" vertical="center"/>
      <protection/>
    </xf>
    <xf numFmtId="0" fontId="5" fillId="0" borderId="79" xfId="61" applyFont="1" applyBorder="1" applyAlignment="1" applyProtection="1">
      <alignment horizontal="center" vertical="center"/>
      <protection/>
    </xf>
    <xf numFmtId="0" fontId="0" fillId="0" borderId="17" xfId="61" applyNumberFormat="1" applyFont="1" applyBorder="1" applyAlignment="1" applyProtection="1">
      <alignment horizontal="center" wrapText="1"/>
      <protection/>
    </xf>
    <xf numFmtId="0" fontId="5" fillId="0" borderId="26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0" borderId="31" xfId="61" applyFont="1" applyBorder="1" applyAlignment="1" applyProtection="1">
      <alignment horizontal="center" vertical="center"/>
      <protection/>
    </xf>
    <xf numFmtId="0" fontId="0" fillId="0" borderId="38" xfId="61" applyFont="1" applyBorder="1" applyAlignment="1" applyProtection="1">
      <alignment horizontal="left" indent="2"/>
      <protection/>
    </xf>
    <xf numFmtId="1" fontId="5" fillId="0" borderId="26" xfId="61" applyNumberFormat="1" applyFont="1" applyBorder="1" applyAlignment="1" applyProtection="1">
      <alignment horizontal="center" vertical="center"/>
      <protection/>
    </xf>
    <xf numFmtId="1" fontId="5" fillId="0" borderId="0" xfId="61" applyNumberFormat="1" applyFont="1" applyBorder="1" applyAlignment="1" applyProtection="1">
      <alignment horizontal="center" vertical="center"/>
      <protection/>
    </xf>
    <xf numFmtId="1" fontId="5" fillId="0" borderId="31" xfId="61" applyNumberFormat="1" applyFont="1" applyBorder="1" applyAlignment="1" applyProtection="1">
      <alignment horizontal="center" vertical="center"/>
      <protection/>
    </xf>
    <xf numFmtId="1" fontId="0" fillId="0" borderId="0" xfId="61" applyNumberFormat="1" applyFont="1" applyBorder="1" applyAlignment="1" applyProtection="1">
      <alignment horizontal="center" vertical="center"/>
      <protection/>
    </xf>
    <xf numFmtId="1" fontId="0" fillId="0" borderId="31" xfId="61" applyNumberFormat="1" applyFont="1" applyBorder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wrapText="1" indent="1"/>
      <protection/>
    </xf>
    <xf numFmtId="1" fontId="5" fillId="42" borderId="40" xfId="61" applyNumberFormat="1" applyFont="1" applyFill="1" applyBorder="1" applyAlignment="1" applyProtection="1">
      <alignment horizontal="center" vertical="center"/>
      <protection/>
    </xf>
    <xf numFmtId="1" fontId="5" fillId="42" borderId="11" xfId="61" applyNumberFormat="1" applyFont="1" applyFill="1" applyBorder="1" applyAlignment="1" applyProtection="1">
      <alignment horizontal="center" vertical="center"/>
      <protection/>
    </xf>
    <xf numFmtId="1" fontId="5" fillId="42" borderId="45" xfId="61" applyNumberFormat="1" applyFont="1" applyFill="1" applyBorder="1" applyAlignment="1" applyProtection="1">
      <alignment horizontal="center" vertical="center"/>
      <protection/>
    </xf>
    <xf numFmtId="1" fontId="5" fillId="42" borderId="21" xfId="61" applyNumberFormat="1" applyFont="1" applyFill="1" applyBorder="1" applyAlignment="1" applyProtection="1">
      <alignment horizontal="center" vertical="center"/>
      <protection/>
    </xf>
    <xf numFmtId="0" fontId="5" fillId="0" borderId="42" xfId="61" applyFont="1" applyBorder="1" applyAlignment="1" applyProtection="1">
      <alignment horizontal="left" wrapText="1" indent="1"/>
      <protection/>
    </xf>
    <xf numFmtId="0" fontId="0" fillId="0" borderId="44" xfId="61" applyNumberFormat="1" applyFont="1" applyBorder="1" applyAlignment="1" applyProtection="1">
      <alignment horizontal="center" wrapText="1"/>
      <protection/>
    </xf>
    <xf numFmtId="1" fontId="5" fillId="42" borderId="46" xfId="61" applyNumberFormat="1" applyFont="1" applyFill="1" applyBorder="1" applyAlignment="1" applyProtection="1">
      <alignment horizontal="center" vertical="center"/>
      <protection/>
    </xf>
    <xf numFmtId="1" fontId="5" fillId="42" borderId="49" xfId="61" applyNumberFormat="1" applyFont="1" applyFill="1" applyBorder="1" applyAlignment="1" applyProtection="1">
      <alignment horizontal="center" vertical="center"/>
      <protection/>
    </xf>
    <xf numFmtId="1" fontId="5" fillId="42" borderId="48" xfId="61" applyNumberFormat="1" applyFont="1" applyFill="1" applyBorder="1" applyAlignment="1" applyProtection="1">
      <alignment horizontal="center" vertical="center"/>
      <protection/>
    </xf>
    <xf numFmtId="1" fontId="5" fillId="42" borderId="47" xfId="61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left" wrapText="1" indent="1"/>
      <protection/>
    </xf>
    <xf numFmtId="0" fontId="5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ont="1" applyFill="1" applyAlignment="1" applyProtection="1">
      <alignment horizontal="center" vertical="center"/>
      <protection/>
    </xf>
    <xf numFmtId="0" fontId="0" fillId="0" borderId="22" xfId="61" applyFont="1" applyBorder="1" applyProtection="1">
      <alignment/>
      <protection/>
    </xf>
    <xf numFmtId="0" fontId="5" fillId="0" borderId="58" xfId="61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center"/>
      <protection/>
    </xf>
    <xf numFmtId="0" fontId="0" fillId="0" borderId="17" xfId="61" applyFont="1" applyFill="1" applyBorder="1" applyAlignment="1" applyProtection="1">
      <alignment horizontal="center"/>
      <protection/>
    </xf>
    <xf numFmtId="0" fontId="5" fillId="0" borderId="26" xfId="61" applyFont="1" applyBorder="1" applyAlignment="1" applyProtection="1">
      <alignment horizontal="left" wrapText="1" indent="2"/>
      <protection/>
    </xf>
    <xf numFmtId="173" fontId="0" fillId="42" borderId="21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Border="1" applyAlignment="1" applyProtection="1">
      <alignment horizontal="center"/>
      <protection/>
    </xf>
    <xf numFmtId="0" fontId="0" fillId="0" borderId="80" xfId="61" applyFont="1" applyBorder="1" applyAlignment="1" applyProtection="1">
      <alignment horizontal="center" vertical="center"/>
      <protection/>
    </xf>
    <xf numFmtId="0" fontId="0" fillId="0" borderId="25" xfId="61" applyFont="1" applyBorder="1" applyAlignment="1" applyProtection="1">
      <alignment horizontal="center" vertical="center"/>
      <protection/>
    </xf>
    <xf numFmtId="0" fontId="0" fillId="0" borderId="54" xfId="61" applyFont="1" applyBorder="1" applyAlignment="1" applyProtection="1">
      <alignment horizontal="center" vertical="center"/>
      <protection/>
    </xf>
    <xf numFmtId="0" fontId="0" fillId="0" borderId="80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 wrapText="1" indent="1"/>
      <protection/>
    </xf>
    <xf numFmtId="170" fontId="5" fillId="42" borderId="45" xfId="71" applyNumberFormat="1" applyFont="1" applyFill="1" applyBorder="1" applyAlignment="1" applyProtection="1">
      <alignment horizontal="center" vertical="center"/>
      <protection/>
    </xf>
    <xf numFmtId="0" fontId="5" fillId="0" borderId="29" xfId="61" applyFont="1" applyBorder="1" applyAlignment="1" applyProtection="1">
      <alignment horizontal="left" wrapText="1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8" xfId="61" applyFont="1" applyBorder="1" applyAlignment="1" applyProtection="1">
      <alignment horizontal="center"/>
      <protection/>
    </xf>
    <xf numFmtId="173" fontId="0" fillId="42" borderId="52" xfId="61" applyNumberFormat="1" applyFont="1" applyFill="1" applyBorder="1" applyAlignment="1" applyProtection="1">
      <alignment horizontal="center" vertical="center"/>
      <protection/>
    </xf>
    <xf numFmtId="173" fontId="0" fillId="42" borderId="13" xfId="61" applyNumberFormat="1" applyFont="1" applyFill="1" applyBorder="1" applyAlignment="1" applyProtection="1">
      <alignment horizontal="center" vertical="center"/>
      <protection/>
    </xf>
    <xf numFmtId="173" fontId="0" fillId="42" borderId="53" xfId="61" applyNumberFormat="1" applyFont="1" applyFill="1" applyBorder="1" applyAlignment="1" applyProtection="1">
      <alignment horizontal="center" vertical="center"/>
      <protection/>
    </xf>
    <xf numFmtId="170" fontId="0" fillId="42" borderId="53" xfId="7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9" xfId="61" applyFont="1" applyBorder="1" applyAlignment="1" applyProtection="1">
      <alignment horizontal="center"/>
      <protection/>
    </xf>
    <xf numFmtId="173" fontId="0" fillId="0" borderId="46" xfId="61" applyNumberFormat="1" applyFont="1" applyFill="1" applyBorder="1" applyAlignment="1" applyProtection="1">
      <alignment horizontal="center" vertical="center"/>
      <protection/>
    </xf>
    <xf numFmtId="173" fontId="0" fillId="0" borderId="47" xfId="61" applyNumberFormat="1" applyFont="1" applyFill="1" applyBorder="1" applyAlignment="1" applyProtection="1">
      <alignment horizontal="center" vertical="center"/>
      <protection/>
    </xf>
    <xf numFmtId="173" fontId="0" fillId="0" borderId="48" xfId="61" applyNumberFormat="1" applyFont="1" applyFill="1" applyBorder="1" applyAlignment="1" applyProtection="1">
      <alignment horizontal="center" vertical="center"/>
      <protection/>
    </xf>
    <xf numFmtId="173" fontId="0" fillId="0" borderId="49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5" fillId="0" borderId="41" xfId="61" applyFont="1" applyBorder="1" applyAlignment="1" applyProtection="1">
      <alignment horizontal="center" vertical="center" wrapText="1"/>
      <protection/>
    </xf>
    <xf numFmtId="0" fontId="5" fillId="0" borderId="47" xfId="61" applyFont="1" applyBorder="1" applyAlignment="1" applyProtection="1">
      <alignment horizontal="center" vertical="center" wrapText="1"/>
      <protection/>
    </xf>
    <xf numFmtId="0" fontId="5" fillId="0" borderId="49" xfId="61" applyFont="1" applyBorder="1" applyAlignment="1" applyProtection="1">
      <alignment horizontal="center" vertical="center" wrapText="1"/>
      <protection/>
    </xf>
    <xf numFmtId="0" fontId="5" fillId="0" borderId="46" xfId="61" applyFont="1" applyBorder="1" applyAlignment="1" applyProtection="1">
      <alignment horizontal="center" vertical="center" wrapText="1"/>
      <protection/>
    </xf>
    <xf numFmtId="0" fontId="5" fillId="0" borderId="74" xfId="61" applyFont="1" applyBorder="1" applyAlignment="1" applyProtection="1">
      <alignment horizontal="center" vertical="center" wrapText="1"/>
      <protection/>
    </xf>
    <xf numFmtId="0" fontId="5" fillId="0" borderId="39" xfId="61" applyFont="1" applyBorder="1" applyAlignment="1" applyProtection="1">
      <alignment horizontal="center" vertical="center" wrapText="1"/>
      <protection/>
    </xf>
    <xf numFmtId="0" fontId="5" fillId="0" borderId="48" xfId="61" applyFont="1" applyBorder="1" applyAlignment="1" applyProtection="1">
      <alignment horizontal="center" vertical="center" wrapText="1"/>
      <protection/>
    </xf>
    <xf numFmtId="0" fontId="5" fillId="0" borderId="54" xfId="61" applyFont="1" applyBorder="1" applyAlignment="1" applyProtection="1">
      <alignment horizontal="center" vertical="center" wrapText="1"/>
      <protection/>
    </xf>
    <xf numFmtId="173" fontId="0" fillId="0" borderId="0" xfId="0" applyNumberFormat="1" applyAlignment="1">
      <alignment horizontal="right"/>
    </xf>
    <xf numFmtId="173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72" fontId="9" fillId="35" borderId="0" xfId="42" applyNumberFormat="1" applyFont="1" applyFill="1" applyAlignment="1">
      <alignment/>
    </xf>
    <xf numFmtId="172" fontId="9" fillId="0" borderId="27" xfId="42" applyNumberFormat="1" applyFont="1" applyBorder="1" applyAlignment="1">
      <alignment/>
    </xf>
    <xf numFmtId="172" fontId="9" fillId="36" borderId="0" xfId="42" applyNumberFormat="1" applyFont="1" applyFill="1" applyBorder="1" applyAlignment="1">
      <alignment/>
    </xf>
    <xf numFmtId="172" fontId="9" fillId="0" borderId="0" xfId="42" applyNumberFormat="1" applyFont="1" applyAlignment="1">
      <alignment/>
    </xf>
    <xf numFmtId="172" fontId="9" fillId="36" borderId="25" xfId="42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2" fontId="9" fillId="47" borderId="0" xfId="42" applyNumberFormat="1" applyFont="1" applyFill="1" applyAlignment="1">
      <alignment/>
    </xf>
    <xf numFmtId="172" fontId="9" fillId="36" borderId="25" xfId="0" applyNumberFormat="1" applyFont="1" applyFill="1" applyBorder="1" applyAlignment="1">
      <alignment/>
    </xf>
    <xf numFmtId="172" fontId="9" fillId="35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/>
    </xf>
    <xf numFmtId="0" fontId="0" fillId="0" borderId="21" xfId="0" applyFont="1" applyBorder="1" applyAlignment="1">
      <alignment/>
    </xf>
    <xf numFmtId="9" fontId="0" fillId="37" borderId="10" xfId="71" applyFont="1" applyFill="1" applyBorder="1" applyAlignment="1">
      <alignment/>
    </xf>
    <xf numFmtId="9" fontId="0" fillId="37" borderId="12" xfId="71" applyFont="1" applyFill="1" applyBorder="1" applyAlignment="1">
      <alignment/>
    </xf>
    <xf numFmtId="0" fontId="0" fillId="0" borderId="11" xfId="0" applyFont="1" applyFill="1" applyBorder="1" applyAlignment="1">
      <alignment/>
    </xf>
    <xf numFmtId="9" fontId="0" fillId="37" borderId="13" xfId="7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11" xfId="0" applyFont="1" applyFill="1" applyBorder="1" applyAlignment="1">
      <alignment vertical="center" wrapText="1"/>
    </xf>
    <xf numFmtId="172" fontId="0" fillId="0" borderId="12" xfId="0" applyNumberFormat="1" applyFont="1" applyBorder="1" applyAlignment="1">
      <alignment/>
    </xf>
    <xf numFmtId="172" fontId="0" fillId="0" borderId="18" xfId="0" applyNumberFormat="1" applyFont="1" applyBorder="1" applyAlignment="1">
      <alignment/>
    </xf>
    <xf numFmtId="187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172" fontId="0" fillId="37" borderId="1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87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19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" fillId="35" borderId="16" xfId="0" applyFont="1" applyFill="1" applyBorder="1" applyAlignment="1">
      <alignment/>
    </xf>
    <xf numFmtId="9" fontId="0" fillId="0" borderId="12" xfId="71" applyFont="1" applyBorder="1" applyAlignment="1">
      <alignment vertical="top" wrapText="1"/>
    </xf>
    <xf numFmtId="9" fontId="0" fillId="0" borderId="13" xfId="7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8" fillId="0" borderId="0" xfId="0" applyFont="1" applyAlignment="1">
      <alignment/>
    </xf>
    <xf numFmtId="175" fontId="5" fillId="45" borderId="0" xfId="0" applyNumberFormat="1" applyFont="1" applyFill="1" applyAlignment="1">
      <alignment vertical="center" wrapText="1"/>
    </xf>
    <xf numFmtId="0" fontId="9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9" fontId="5" fillId="0" borderId="10" xfId="7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9" fontId="5" fillId="0" borderId="11" xfId="71" applyFont="1" applyBorder="1" applyAlignment="1">
      <alignment/>
    </xf>
    <xf numFmtId="9" fontId="5" fillId="37" borderId="11" xfId="71" applyFont="1" applyFill="1" applyBorder="1" applyAlignment="1">
      <alignment/>
    </xf>
    <xf numFmtId="9" fontId="5" fillId="37" borderId="15" xfId="71" applyFont="1" applyFill="1" applyBorder="1" applyAlignment="1">
      <alignment/>
    </xf>
    <xf numFmtId="9" fontId="5" fillId="0" borderId="0" xfId="71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173" fontId="45" fillId="0" borderId="0" xfId="0" applyNumberFormat="1" applyFont="1" applyFill="1" applyBorder="1" applyAlignment="1">
      <alignment/>
    </xf>
    <xf numFmtId="9" fontId="45" fillId="0" borderId="0" xfId="7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5" fillId="0" borderId="16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9" fontId="5" fillId="0" borderId="18" xfId="71" applyFont="1" applyFill="1" applyBorder="1" applyAlignment="1">
      <alignment/>
    </xf>
    <xf numFmtId="9" fontId="5" fillId="0" borderId="12" xfId="71" applyFont="1" applyFill="1" applyBorder="1" applyAlignment="1">
      <alignment/>
    </xf>
    <xf numFmtId="9" fontId="5" fillId="0" borderId="12" xfId="71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9" fontId="5" fillId="0" borderId="20" xfId="71" applyFont="1" applyFill="1" applyBorder="1" applyAlignment="1">
      <alignment/>
    </xf>
    <xf numFmtId="9" fontId="5" fillId="0" borderId="13" xfId="71" applyFont="1" applyFill="1" applyBorder="1" applyAlignment="1">
      <alignment/>
    </xf>
    <xf numFmtId="0" fontId="5" fillId="42" borderId="0" xfId="0" applyFont="1" applyFill="1" applyAlignment="1">
      <alignment/>
    </xf>
    <xf numFmtId="0" fontId="0" fillId="40" borderId="0" xfId="0" applyFont="1" applyFill="1" applyAlignment="1">
      <alignment/>
    </xf>
    <xf numFmtId="0" fontId="45" fillId="40" borderId="0" xfId="0" applyFont="1" applyFill="1" applyAlignment="1">
      <alignment/>
    </xf>
    <xf numFmtId="4" fontId="45" fillId="40" borderId="0" xfId="0" applyNumberFormat="1" applyFont="1" applyFill="1" applyAlignment="1">
      <alignment/>
    </xf>
    <xf numFmtId="173" fontId="45" fillId="40" borderId="0" xfId="0" applyNumberFormat="1" applyFont="1" applyFill="1" applyAlignment="1">
      <alignment/>
    </xf>
    <xf numFmtId="173" fontId="0" fillId="40" borderId="0" xfId="0" applyNumberFormat="1" applyFont="1" applyFill="1" applyAlignment="1">
      <alignment/>
    </xf>
    <xf numFmtId="10" fontId="45" fillId="40" borderId="0" xfId="0" applyNumberFormat="1" applyFont="1" applyFill="1" applyAlignment="1">
      <alignment/>
    </xf>
    <xf numFmtId="1" fontId="0" fillId="40" borderId="0" xfId="0" applyNumberFormat="1" applyFont="1" applyFill="1" applyAlignment="1">
      <alignment/>
    </xf>
    <xf numFmtId="10" fontId="0" fillId="40" borderId="0" xfId="0" applyNumberFormat="1" applyFont="1" applyFill="1" applyAlignment="1">
      <alignment/>
    </xf>
    <xf numFmtId="171" fontId="0" fillId="40" borderId="0" xfId="0" applyNumberFormat="1" applyFont="1" applyFill="1" applyAlignment="1">
      <alignment/>
    </xf>
    <xf numFmtId="172" fontId="0" fillId="4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0" fillId="41" borderId="14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45" fillId="0" borderId="0" xfId="0" applyFont="1" applyAlignment="1">
      <alignment/>
    </xf>
    <xf numFmtId="0" fontId="0" fillId="40" borderId="26" xfId="0" applyFont="1" applyFill="1" applyBorder="1" applyAlignment="1">
      <alignment/>
    </xf>
    <xf numFmtId="181" fontId="45" fillId="41" borderId="26" xfId="71" applyNumberFormat="1" applyFont="1" applyFill="1" applyBorder="1" applyAlignment="1">
      <alignment horizontal="center"/>
    </xf>
    <xf numFmtId="0" fontId="45" fillId="41" borderId="0" xfId="0" applyFont="1" applyFill="1" applyBorder="1" applyAlignment="1">
      <alignment/>
    </xf>
    <xf numFmtId="9" fontId="45" fillId="41" borderId="31" xfId="7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3" fontId="1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7" fillId="0" borderId="0" xfId="54" applyAlignment="1" applyProtection="1">
      <alignment/>
      <protection/>
    </xf>
    <xf numFmtId="0" fontId="0" fillId="0" borderId="12" xfId="0" applyFont="1" applyBorder="1" applyAlignment="1">
      <alignment horizontal="left" indent="1"/>
    </xf>
    <xf numFmtId="170" fontId="0" fillId="0" borderId="14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indent="1"/>
    </xf>
    <xf numFmtId="170" fontId="0" fillId="0" borderId="19" xfId="0" applyNumberFormat="1" applyFon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170" fontId="5" fillId="0" borderId="24" xfId="0" applyNumberFormat="1" applyFont="1" applyBorder="1" applyAlignment="1">
      <alignment horizontal="center" vertical="center"/>
    </xf>
    <xf numFmtId="170" fontId="0" fillId="40" borderId="0" xfId="0" applyNumberFormat="1" applyFont="1" applyFill="1" applyAlignment="1" applyProtection="1">
      <alignment horizontal="center"/>
      <protection locked="0"/>
    </xf>
    <xf numFmtId="0" fontId="0" fillId="48" borderId="0" xfId="0" applyNumberFormat="1" applyFont="1" applyFill="1" applyAlignment="1" applyProtection="1">
      <alignment horizontal="center"/>
      <protection locked="0"/>
    </xf>
    <xf numFmtId="0" fontId="0" fillId="33" borderId="0" xfId="0" applyNumberFormat="1" applyFont="1" applyFill="1" applyAlignment="1" applyProtection="1">
      <alignment horizontal="center"/>
      <protection locked="0"/>
    </xf>
    <xf numFmtId="49" fontId="5" fillId="45" borderId="0" xfId="0" applyNumberFormat="1" applyFont="1" applyFill="1" applyAlignment="1">
      <alignment vertical="center" wrapText="1"/>
    </xf>
    <xf numFmtId="0" fontId="5" fillId="45" borderId="0" xfId="0" applyFont="1" applyFill="1" applyAlignment="1">
      <alignment horizontal="center" vertical="center" wrapText="1"/>
    </xf>
    <xf numFmtId="185" fontId="0" fillId="49" borderId="0" xfId="0" applyNumberFormat="1" applyFont="1" applyFill="1" applyAlignment="1" applyProtection="1">
      <alignment/>
      <protection locked="0"/>
    </xf>
    <xf numFmtId="186" fontId="0" fillId="35" borderId="0" xfId="0" applyNumberFormat="1" applyFont="1" applyFill="1" applyAlignment="1" applyProtection="1">
      <alignment horizontal="center"/>
      <protection locked="0"/>
    </xf>
    <xf numFmtId="0" fontId="5" fillId="35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23" xfId="0" applyFill="1" applyBorder="1" applyAlignment="1">
      <alignment/>
    </xf>
    <xf numFmtId="0" fontId="0" fillId="41" borderId="23" xfId="0" applyFill="1" applyBorder="1" applyAlignment="1">
      <alignment horizontal="center"/>
    </xf>
    <xf numFmtId="0" fontId="0" fillId="41" borderId="28" xfId="0" applyFill="1" applyBorder="1" applyAlignment="1">
      <alignment/>
    </xf>
    <xf numFmtId="0" fontId="0" fillId="41" borderId="2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9" fontId="0" fillId="41" borderId="14" xfId="71" applyFont="1" applyFill="1" applyBorder="1" applyAlignment="1">
      <alignment horizontal="center"/>
    </xf>
    <xf numFmtId="9" fontId="0" fillId="41" borderId="24" xfId="7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7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73" fontId="14" fillId="0" borderId="14" xfId="68" applyNumberFormat="1" applyFont="1" applyBorder="1" applyAlignment="1" applyProtection="1">
      <alignment horizontal="center" vertical="center" wrapText="1"/>
      <protection/>
    </xf>
    <xf numFmtId="173" fontId="14" fillId="0" borderId="24" xfId="68" applyNumberFormat="1" applyFont="1" applyBorder="1" applyAlignment="1" applyProtection="1">
      <alignment horizontal="center" vertical="center" wrapText="1"/>
      <protection/>
    </xf>
    <xf numFmtId="173" fontId="14" fillId="0" borderId="16" xfId="68" applyNumberFormat="1" applyFont="1" applyBorder="1" applyAlignment="1" applyProtection="1">
      <alignment horizontal="center" vertical="center" wrapText="1"/>
      <protection/>
    </xf>
    <xf numFmtId="173" fontId="5" fillId="0" borderId="11" xfId="0" applyNumberFormat="1" applyFont="1" applyBorder="1" applyAlignment="1">
      <alignment horizontal="center"/>
    </xf>
    <xf numFmtId="0" fontId="19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5" fillId="0" borderId="55" xfId="64" applyNumberFormat="1" applyFont="1" applyBorder="1" applyAlignment="1" applyProtection="1">
      <alignment horizontal="center" vertical="center" wrapText="1"/>
      <protection/>
    </xf>
    <xf numFmtId="1" fontId="15" fillId="0" borderId="57" xfId="64" applyNumberFormat="1" applyFont="1" applyBorder="1" applyAlignment="1" applyProtection="1">
      <alignment horizontal="center" vertical="center" wrapText="1"/>
      <protection/>
    </xf>
    <xf numFmtId="1" fontId="15" fillId="0" borderId="62" xfId="64" applyNumberFormat="1" applyFont="1" applyBorder="1" applyAlignment="1" applyProtection="1">
      <alignment horizontal="center"/>
      <protection/>
    </xf>
    <xf numFmtId="1" fontId="15" fillId="0" borderId="77" xfId="64" applyNumberFormat="1" applyFont="1" applyBorder="1" applyAlignment="1" applyProtection="1">
      <alignment horizontal="center"/>
      <protection/>
    </xf>
    <xf numFmtId="1" fontId="15" fillId="0" borderId="63" xfId="64" applyNumberFormat="1" applyFont="1" applyBorder="1" applyAlignment="1" applyProtection="1">
      <alignment horizontal="center"/>
      <protection/>
    </xf>
    <xf numFmtId="1" fontId="15" fillId="0" borderId="62" xfId="64" applyNumberFormat="1" applyFont="1" applyBorder="1" applyAlignment="1" applyProtection="1" quotePrefix="1">
      <alignment horizontal="center"/>
      <protection/>
    </xf>
    <xf numFmtId="1" fontId="15" fillId="0" borderId="77" xfId="64" applyNumberFormat="1" applyFont="1" applyBorder="1" applyAlignment="1" applyProtection="1" quotePrefix="1">
      <alignment horizontal="center"/>
      <protection/>
    </xf>
    <xf numFmtId="1" fontId="15" fillId="0" borderId="63" xfId="64" applyNumberFormat="1" applyFont="1" applyBorder="1" applyAlignment="1" applyProtection="1" quotePrefix="1">
      <alignment horizontal="center"/>
      <protection/>
    </xf>
    <xf numFmtId="0" fontId="24" fillId="41" borderId="80" xfId="61" applyNumberFormat="1" applyFont="1" applyFill="1" applyBorder="1" applyAlignment="1" applyProtection="1">
      <alignment horizontal="left" vertical="center"/>
      <protection locked="0"/>
    </xf>
    <xf numFmtId="0" fontId="24" fillId="41" borderId="25" xfId="61" applyNumberFormat="1" applyFont="1" applyFill="1" applyBorder="1" applyAlignment="1" applyProtection="1">
      <alignment horizontal="left" vertical="center"/>
      <protection locked="0"/>
    </xf>
    <xf numFmtId="0" fontId="24" fillId="41" borderId="54" xfId="61" applyNumberFormat="1" applyFont="1" applyFill="1" applyBorder="1" applyAlignment="1" applyProtection="1">
      <alignment horizontal="left" vertical="center"/>
      <protection locked="0"/>
    </xf>
    <xf numFmtId="0" fontId="11" fillId="0" borderId="80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54" xfId="61" applyFont="1" applyBorder="1" applyAlignment="1" applyProtection="1">
      <alignment horizontal="center" vertical="center" wrapText="1"/>
      <protection/>
    </xf>
    <xf numFmtId="0" fontId="5" fillId="0" borderId="80" xfId="61" applyFont="1" applyFill="1" applyBorder="1" applyAlignment="1" applyProtection="1">
      <alignment horizontal="center" vertical="center"/>
      <protection/>
    </xf>
    <xf numFmtId="0" fontId="5" fillId="0" borderId="25" xfId="61" applyFont="1" applyFill="1" applyBorder="1" applyAlignment="1" applyProtection="1">
      <alignment horizontal="center" vertical="center"/>
      <protection/>
    </xf>
    <xf numFmtId="0" fontId="5" fillId="0" borderId="54" xfId="61" applyFont="1" applyFill="1" applyBorder="1" applyAlignment="1" applyProtection="1">
      <alignment horizontal="center" vertical="center"/>
      <protection/>
    </xf>
    <xf numFmtId="0" fontId="24" fillId="41" borderId="84" xfId="61" applyNumberFormat="1" applyFont="1" applyFill="1" applyBorder="1" applyAlignment="1" applyProtection="1">
      <alignment horizontal="left" vertical="center"/>
      <protection locked="0"/>
    </xf>
    <xf numFmtId="0" fontId="24" fillId="41" borderId="24" xfId="61" applyNumberFormat="1" applyFont="1" applyFill="1" applyBorder="1" applyAlignment="1" applyProtection="1">
      <alignment horizontal="left" vertical="center"/>
      <protection locked="0"/>
    </xf>
    <xf numFmtId="0" fontId="24" fillId="41" borderId="79" xfId="61" applyNumberFormat="1" applyFont="1" applyFill="1" applyBorder="1" applyAlignment="1" applyProtection="1">
      <alignment horizontal="left" vertical="center"/>
      <protection locked="0"/>
    </xf>
    <xf numFmtId="0" fontId="13" fillId="0" borderId="52" xfId="63" applyFont="1" applyBorder="1" applyAlignment="1" applyProtection="1">
      <alignment horizontal="left" vertical="center" wrapText="1"/>
      <protection/>
    </xf>
    <xf numFmtId="0" fontId="13" fillId="0" borderId="40" xfId="63" applyFont="1" applyBorder="1" applyAlignment="1" applyProtection="1">
      <alignment horizontal="left" vertical="center" wrapText="1"/>
      <protection/>
    </xf>
    <xf numFmtId="0" fontId="13" fillId="0" borderId="40" xfId="63" applyFont="1" applyBorder="1" applyAlignment="1" applyProtection="1">
      <alignment horizontal="left" vertical="center"/>
      <protection/>
    </xf>
    <xf numFmtId="0" fontId="13" fillId="0" borderId="50" xfId="67" applyFont="1" applyFill="1" applyBorder="1" applyAlignment="1" applyProtection="1">
      <alignment horizontal="left" vertical="center"/>
      <protection/>
    </xf>
    <xf numFmtId="0" fontId="13" fillId="0" borderId="38" xfId="67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horizontal="left" vertical="center"/>
      <protection/>
    </xf>
    <xf numFmtId="0" fontId="13" fillId="0" borderId="50" xfId="63" applyFont="1" applyBorder="1" applyAlignment="1" applyProtection="1">
      <alignment horizontal="left" vertical="center"/>
      <protection/>
    </xf>
    <xf numFmtId="0" fontId="14" fillId="0" borderId="10" xfId="68" applyFont="1" applyBorder="1" applyAlignment="1">
      <alignment horizontal="center" textRotation="90" wrapText="1"/>
      <protection/>
    </xf>
    <xf numFmtId="0" fontId="14" fillId="0" borderId="12" xfId="68" applyFont="1" applyBorder="1" applyAlignment="1">
      <alignment horizontal="center" textRotation="90" wrapText="1"/>
      <protection/>
    </xf>
    <xf numFmtId="0" fontId="14" fillId="0" borderId="13" xfId="68" applyFont="1" applyBorder="1" applyAlignment="1">
      <alignment horizontal="center" textRotation="90" wrapText="1"/>
      <protection/>
    </xf>
    <xf numFmtId="0" fontId="14" fillId="0" borderId="15" xfId="68" applyFont="1" applyBorder="1" applyAlignment="1">
      <alignment horizontal="center"/>
      <protection/>
    </xf>
    <xf numFmtId="0" fontId="14" fillId="0" borderId="25" xfId="68" applyFont="1" applyBorder="1" applyAlignment="1">
      <alignment horizontal="center"/>
      <protection/>
    </xf>
    <xf numFmtId="0" fontId="14" fillId="0" borderId="21" xfId="68" applyFont="1" applyBorder="1" applyAlignment="1">
      <alignment horizontal="center"/>
      <protection/>
    </xf>
    <xf numFmtId="0" fontId="15" fillId="0" borderId="10" xfId="68" applyFont="1" applyBorder="1" applyAlignment="1">
      <alignment horizontal="center" textRotation="90" wrapText="1"/>
      <protection/>
    </xf>
    <xf numFmtId="0" fontId="15" fillId="0" borderId="12" xfId="68" applyFont="1" applyBorder="1" applyAlignment="1">
      <alignment horizontal="center" textRotation="90" wrapText="1"/>
      <protection/>
    </xf>
    <xf numFmtId="0" fontId="15" fillId="0" borderId="13" xfId="68" applyFont="1" applyBorder="1" applyAlignment="1">
      <alignment horizontal="center" textRotation="90" wrapText="1"/>
      <protection/>
    </xf>
    <xf numFmtId="0" fontId="14" fillId="36" borderId="15" xfId="68" applyFont="1" applyFill="1" applyBorder="1" applyAlignment="1">
      <alignment horizontal="center"/>
      <protection/>
    </xf>
    <xf numFmtId="0" fontId="14" fillId="36" borderId="25" xfId="68" applyFont="1" applyFill="1" applyBorder="1" applyAlignment="1">
      <alignment horizontal="center"/>
      <protection/>
    </xf>
    <xf numFmtId="0" fontId="14" fillId="36" borderId="21" xfId="68" applyFont="1" applyFill="1" applyBorder="1" applyAlignment="1">
      <alignment horizontal="center"/>
      <protection/>
    </xf>
    <xf numFmtId="0" fontId="14" fillId="40" borderId="15" xfId="68" applyFont="1" applyFill="1" applyBorder="1" applyAlignment="1">
      <alignment horizontal="center"/>
      <protection/>
    </xf>
    <xf numFmtId="0" fontId="14" fillId="40" borderId="25" xfId="68" applyFont="1" applyFill="1" applyBorder="1" applyAlignment="1">
      <alignment horizontal="center"/>
      <protection/>
    </xf>
    <xf numFmtId="0" fontId="14" fillId="40" borderId="21" xfId="68" applyFont="1" applyFill="1" applyBorder="1" applyAlignment="1">
      <alignment horizontal="center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>
      <alignment horizontal="left" wrapText="1"/>
    </xf>
    <xf numFmtId="0" fontId="37" fillId="0" borderId="22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15" fillId="48" borderId="62" xfId="0" applyFont="1" applyFill="1" applyBorder="1" applyAlignment="1" applyProtection="1">
      <alignment horizontal="center"/>
      <protection/>
    </xf>
    <xf numFmtId="0" fontId="15" fillId="48" borderId="77" xfId="0" applyFont="1" applyFill="1" applyBorder="1" applyAlignment="1" applyProtection="1">
      <alignment horizontal="center"/>
      <protection/>
    </xf>
    <xf numFmtId="0" fontId="15" fillId="48" borderId="63" xfId="0" applyFont="1" applyFill="1" applyBorder="1" applyAlignment="1" applyProtection="1">
      <alignment horizontal="center"/>
      <protection/>
    </xf>
    <xf numFmtId="0" fontId="15" fillId="40" borderId="62" xfId="0" applyFont="1" applyFill="1" applyBorder="1" applyAlignment="1" applyProtection="1">
      <alignment horizontal="center"/>
      <protection/>
    </xf>
    <xf numFmtId="0" fontId="0" fillId="0" borderId="77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5" fillId="36" borderId="62" xfId="0" applyFont="1" applyFill="1" applyBorder="1" applyAlignment="1" applyProtection="1">
      <alignment horizontal="center"/>
      <protection/>
    </xf>
    <xf numFmtId="0" fontId="15" fillId="36" borderId="77" xfId="0" applyFont="1" applyFill="1" applyBorder="1" applyAlignment="1" applyProtection="1">
      <alignment horizontal="center"/>
      <protection/>
    </xf>
    <xf numFmtId="0" fontId="15" fillId="36" borderId="63" xfId="0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180" fontId="8" fillId="33" borderId="75" xfId="0" applyNumberFormat="1" applyFont="1" applyFill="1" applyBorder="1" applyAlignment="1">
      <alignment horizontal="right" vertical="center"/>
    </xf>
    <xf numFmtId="180" fontId="8" fillId="33" borderId="34" xfId="0" applyNumberFormat="1" applyFont="1" applyFill="1" applyBorder="1" applyAlignment="1">
      <alignment horizontal="right" vertical="center"/>
    </xf>
    <xf numFmtId="180" fontId="8" fillId="33" borderId="7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54" xfId="0" applyFont="1" applyFill="1" applyBorder="1" applyAlignment="1" applyProtection="1">
      <alignment horizontal="left" vertical="center"/>
      <protection/>
    </xf>
    <xf numFmtId="0" fontId="8" fillId="0" borderId="49" xfId="0" applyFont="1" applyFill="1" applyBorder="1" applyAlignment="1" applyProtection="1">
      <alignment horizontal="left"/>
      <protection/>
    </xf>
    <xf numFmtId="0" fontId="8" fillId="0" borderId="48" xfId="0" applyFont="1" applyFill="1" applyBorder="1" applyAlignment="1" applyProtection="1">
      <alignment horizontal="left"/>
      <protection/>
    </xf>
    <xf numFmtId="0" fontId="15" fillId="0" borderId="3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53" xfId="0" applyFont="1" applyFill="1" applyBorder="1" applyAlignment="1" applyProtection="1">
      <alignment horizontal="left" vertical="center"/>
      <protection/>
    </xf>
    <xf numFmtId="180" fontId="16" fillId="41" borderId="35" xfId="0" applyNumberFormat="1" applyFont="1" applyFill="1" applyBorder="1" applyAlignment="1" applyProtection="1">
      <alignment horizontal="right" vertical="center"/>
      <protection locked="0"/>
    </xf>
    <xf numFmtId="180" fontId="16" fillId="41" borderId="52" xfId="0" applyNumberFormat="1" applyFont="1" applyFill="1" applyBorder="1" applyAlignment="1" applyProtection="1">
      <alignment horizontal="right" vertical="center"/>
      <protection locked="0"/>
    </xf>
    <xf numFmtId="180" fontId="16" fillId="41" borderId="87" xfId="0" applyNumberFormat="1" applyFont="1" applyFill="1" applyBorder="1" applyAlignment="1" applyProtection="1">
      <alignment horizontal="right" vertical="center"/>
      <protection locked="0"/>
    </xf>
    <xf numFmtId="180" fontId="16" fillId="41" borderId="53" xfId="0" applyNumberFormat="1" applyFont="1" applyFill="1" applyBorder="1" applyAlignment="1" applyProtection="1">
      <alignment horizontal="right" vertical="center"/>
      <protection locked="0"/>
    </xf>
    <xf numFmtId="180" fontId="8" fillId="33" borderId="3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0" fontId="37" fillId="0" borderId="5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59" xfId="0" applyBorder="1" applyAlignment="1">
      <alignment horizontal="left"/>
    </xf>
    <xf numFmtId="180" fontId="16" fillId="41" borderId="50" xfId="0" applyNumberFormat="1" applyFont="1" applyFill="1" applyBorder="1" applyAlignment="1" applyProtection="1">
      <alignment horizontal="right" vertical="center"/>
      <protection locked="0"/>
    </xf>
    <xf numFmtId="180" fontId="16" fillId="41" borderId="38" xfId="0" applyNumberFormat="1" applyFont="1" applyFill="1" applyBorder="1" applyAlignment="1" applyProtection="1">
      <alignment horizontal="right" vertical="center"/>
      <protection locked="0"/>
    </xf>
    <xf numFmtId="180" fontId="16" fillId="41" borderId="51" xfId="0" applyNumberFormat="1" applyFont="1" applyFill="1" applyBorder="1" applyAlignment="1" applyProtection="1">
      <alignment horizontal="right" vertical="center"/>
      <protection locked="0"/>
    </xf>
    <xf numFmtId="180" fontId="16" fillId="41" borderId="68" xfId="0" applyNumberFormat="1" applyFont="1" applyFill="1" applyBorder="1" applyAlignment="1" applyProtection="1">
      <alignment horizontal="right" vertical="center"/>
      <protection locked="0"/>
    </xf>
    <xf numFmtId="0" fontId="37" fillId="0" borderId="76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8" fillId="0" borderId="92" xfId="0" applyFont="1" applyFill="1" applyBorder="1" applyAlignment="1" applyProtection="1">
      <alignment horizontal="left"/>
      <protection/>
    </xf>
    <xf numFmtId="0" fontId="8" fillId="0" borderId="91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51" xfId="0" applyFont="1" applyFill="1" applyBorder="1" applyAlignment="1" applyProtection="1">
      <alignment horizontal="left"/>
      <protection/>
    </xf>
    <xf numFmtId="0" fontId="37" fillId="0" borderId="35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8" fillId="0" borderId="92" xfId="0" applyFont="1" applyFill="1" applyBorder="1" applyAlignment="1" applyProtection="1">
      <alignment horizontal="left" vertical="center"/>
      <protection/>
    </xf>
    <xf numFmtId="0" fontId="8" fillId="0" borderId="91" xfId="0" applyFont="1" applyFill="1" applyBorder="1" applyAlignment="1" applyProtection="1">
      <alignment horizontal="left" vertical="center"/>
      <protection/>
    </xf>
    <xf numFmtId="0" fontId="37" fillId="0" borderId="50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53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45" xfId="0" applyFont="1" applyFill="1" applyBorder="1" applyAlignment="1" applyProtection="1">
      <alignment horizontal="left" wrapText="1"/>
      <protection/>
    </xf>
    <xf numFmtId="0" fontId="36" fillId="0" borderId="22" xfId="0" applyFont="1" applyBorder="1" applyAlignment="1" applyProtection="1">
      <alignment horizontal="center"/>
      <protection/>
    </xf>
    <xf numFmtId="0" fontId="36" fillId="0" borderId="29" xfId="0" applyFont="1" applyBorder="1" applyAlignment="1" applyProtection="1">
      <alignment horizontal="center"/>
      <protection/>
    </xf>
    <xf numFmtId="0" fontId="36" fillId="0" borderId="22" xfId="0" applyFont="1" applyBorder="1" applyAlignment="1" applyProtection="1">
      <alignment horizontal="left"/>
      <protection/>
    </xf>
    <xf numFmtId="0" fontId="36" fillId="0" borderId="23" xfId="0" applyFont="1" applyBorder="1" applyAlignment="1" applyProtection="1">
      <alignment horizontal="left"/>
      <protection/>
    </xf>
    <xf numFmtId="0" fontId="36" fillId="0" borderId="29" xfId="0" applyFont="1" applyBorder="1" applyAlignment="1" applyProtection="1">
      <alignment horizontal="left"/>
      <protection/>
    </xf>
    <xf numFmtId="0" fontId="36" fillId="0" borderId="30" xfId="0" applyFont="1" applyBorder="1" applyAlignment="1" applyProtection="1">
      <alignment horizontal="left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8" fillId="0" borderId="77" xfId="0" applyFont="1" applyBorder="1" applyAlignment="1" applyProtection="1">
      <alignment horizontal="left" vertical="center" wrapText="1"/>
      <protection/>
    </xf>
    <xf numFmtId="0" fontId="13" fillId="0" borderId="77" xfId="0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 applyProtection="1">
      <alignment horizontal="left" vertical="center" wrapText="1"/>
      <protection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40" borderId="29" xfId="0" applyFont="1" applyFill="1" applyBorder="1" applyAlignment="1" applyProtection="1">
      <alignment horizontal="center" vertical="center" wrapText="1"/>
      <protection/>
    </xf>
    <xf numFmtId="0" fontId="13" fillId="40" borderId="32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top" wrapText="1"/>
    </xf>
    <xf numFmtId="0" fontId="36" fillId="0" borderId="0" xfId="0" applyFont="1" applyAlignment="1" applyProtection="1">
      <alignment horizontal="left"/>
      <protection/>
    </xf>
    <xf numFmtId="0" fontId="8" fillId="0" borderId="22" xfId="67" applyFont="1" applyFill="1" applyBorder="1" applyAlignment="1" applyProtection="1">
      <alignment horizontal="center" vertical="center"/>
      <protection/>
    </xf>
    <xf numFmtId="0" fontId="8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C18" sqref="C18"/>
    </sheetView>
  </sheetViews>
  <sheetFormatPr defaultColWidth="8.8515625" defaultRowHeight="12.75"/>
  <cols>
    <col min="1" max="1" width="44.00390625" style="1373" customWidth="1"/>
    <col min="2" max="8" width="13.8515625" style="1373" customWidth="1"/>
    <col min="9" max="16384" width="8.8515625" style="1373" customWidth="1"/>
  </cols>
  <sheetData>
    <row r="1" spans="1:7" s="1375" customFormat="1" ht="12.75">
      <c r="A1" s="5" t="s">
        <v>576</v>
      </c>
      <c r="G1" s="1376" t="s">
        <v>55</v>
      </c>
    </row>
    <row r="3" spans="1:6" ht="12.75" customHeight="1">
      <c r="A3" s="239" t="s">
        <v>189</v>
      </c>
      <c r="B3" s="1396" t="s">
        <v>252</v>
      </c>
      <c r="C3" s="1396"/>
      <c r="D3" s="1396"/>
      <c r="E3" s="1396"/>
      <c r="F3" s="1397"/>
    </row>
    <row r="4" spans="1:6" ht="12.75">
      <c r="A4" s="243"/>
      <c r="B4" s="1374" t="s">
        <v>875</v>
      </c>
      <c r="C4" s="1374" t="s">
        <v>438</v>
      </c>
      <c r="D4" s="1374" t="s">
        <v>874</v>
      </c>
      <c r="E4" s="1374" t="s">
        <v>880</v>
      </c>
      <c r="F4" s="246" t="s">
        <v>577</v>
      </c>
    </row>
    <row r="5" spans="1:6" ht="12.75">
      <c r="A5" s="1377" t="s">
        <v>199</v>
      </c>
      <c r="B5" s="1378">
        <f>'WPD - Final Allocation'!J47</f>
        <v>0.47061225443098453</v>
      </c>
      <c r="C5" s="1379">
        <f>'WPD - Final Allocation'!I47</f>
        <v>0.0785955560246349</v>
      </c>
      <c r="D5" s="1379">
        <f>'WPD - Final Allocation'!H47</f>
        <v>0.1887969141801584</v>
      </c>
      <c r="E5" s="1379">
        <f>'WPD - Final Allocation'!F47</f>
        <v>0.2619952753642222</v>
      </c>
      <c r="F5" s="1380" t="s">
        <v>193</v>
      </c>
    </row>
    <row r="6" spans="1:6" ht="12.75">
      <c r="A6" s="1377" t="s">
        <v>578</v>
      </c>
      <c r="B6" s="1381">
        <f>'WPD - Final Allocation'!J46</f>
        <v>0.13596332621236557</v>
      </c>
      <c r="C6" s="1382">
        <f>'WPD - Final Allocation'!I46</f>
        <v>0.05974950683893988</v>
      </c>
      <c r="D6" s="1382">
        <f>'WPD - Final Allocation'!H46</f>
        <v>0.27202086792538993</v>
      </c>
      <c r="E6" s="1382">
        <f>'WPD - Final Allocation'!F46</f>
        <v>0.5322662990233047</v>
      </c>
      <c r="F6" s="1383" t="s">
        <v>193</v>
      </c>
    </row>
    <row r="7" spans="1:6" ht="12.75">
      <c r="A7" s="1384" t="s">
        <v>251</v>
      </c>
      <c r="B7" s="1385">
        <f>'WPD - Final Allocation'!J45</f>
        <v>0.13596332621236557</v>
      </c>
      <c r="C7" s="1386">
        <f>'WPD - Final Allocation'!I45</f>
        <v>0.05974950683893988</v>
      </c>
      <c r="D7" s="1386">
        <f>'WPD - Final Allocation'!H45</f>
        <v>0.27202086792538993</v>
      </c>
      <c r="E7" s="1386">
        <f>'WPD - Final Allocation'!F45</f>
        <v>0.5322662990233047</v>
      </c>
      <c r="F7" s="1387" t="s">
        <v>193</v>
      </c>
    </row>
    <row r="8" spans="1:6" ht="12.75">
      <c r="A8" s="244" t="s">
        <v>574</v>
      </c>
      <c r="B8" s="264">
        <f>'WPD - Final Allocation'!O50</f>
        <v>0.24826709072033157</v>
      </c>
      <c r="C8" s="1388">
        <f>'WPD - Final Allocation'!N50</f>
        <v>0.06607399226586819</v>
      </c>
      <c r="D8" s="1388">
        <f>'WPD - Final Allocation'!M50</f>
        <v>0.244092007215815</v>
      </c>
      <c r="E8" s="1388">
        <f>'WPD - Final Allocation'!L50</f>
        <v>0.4415669097979852</v>
      </c>
      <c r="F8" s="265" t="s">
        <v>193</v>
      </c>
    </row>
    <row r="9" spans="1:6" ht="38.25">
      <c r="A9" s="245" t="s">
        <v>499</v>
      </c>
      <c r="B9" s="263">
        <f>'WPD - Final Allocation'!P82</f>
        <v>0.2935919411761023</v>
      </c>
      <c r="C9" s="266">
        <f>'WPD - Final Allocation'!O82</f>
        <v>0.07813678242374622</v>
      </c>
      <c r="D9" s="266">
        <f>'WPD - Final Allocation'!N82</f>
        <v>0.1940753881403594</v>
      </c>
      <c r="E9" s="266">
        <f>'WPD - Final Allocation'!M82</f>
        <v>0.34295316099388756</v>
      </c>
      <c r="F9" s="267">
        <f>'WPD - Final Allocation'!Q82</f>
        <v>0.09124272726590445</v>
      </c>
    </row>
    <row r="10" spans="1:6" ht="12.75">
      <c r="A10" s="245" t="s">
        <v>571</v>
      </c>
      <c r="B10" s="276">
        <f>'Calc - WPD Opex Allocation'!AB48</f>
        <v>0.6007661417458637</v>
      </c>
      <c r="C10" s="277">
        <f>'Calc - WPD Opex Allocation'!AA48</f>
        <v>0.8954771311977315</v>
      </c>
      <c r="D10" s="277">
        <f>'Calc - WPD Opex Allocation'!Z48</f>
        <v>0.9181763094838433</v>
      </c>
      <c r="E10" s="277">
        <f>'Calc - WPD Opex Allocation'!Y48</f>
        <v>0.7381496711545463</v>
      </c>
      <c r="F10" s="278" t="s">
        <v>193</v>
      </c>
    </row>
    <row r="12" spans="2:8" ht="12" customHeight="1">
      <c r="B12" s="1374" t="s">
        <v>875</v>
      </c>
      <c r="C12" s="1374" t="s">
        <v>367</v>
      </c>
      <c r="D12" s="1374" t="s">
        <v>874</v>
      </c>
      <c r="E12" s="1374" t="s">
        <v>83</v>
      </c>
      <c r="F12" s="1374" t="s">
        <v>880</v>
      </c>
      <c r="G12" s="1374" t="s">
        <v>4</v>
      </c>
      <c r="H12" s="1374" t="s">
        <v>878</v>
      </c>
    </row>
    <row r="13" spans="1:8" ht="12.75">
      <c r="A13" s="1368" t="s">
        <v>5</v>
      </c>
      <c r="B13" s="263">
        <f aca="true" t="shared" si="0" ref="B13:D14">B9</f>
        <v>0.2935919411761023</v>
      </c>
      <c r="C13" s="263">
        <f t="shared" si="0"/>
        <v>0.07813678242374622</v>
      </c>
      <c r="D13" s="263">
        <f t="shared" si="0"/>
        <v>0.1940753881403594</v>
      </c>
      <c r="E13" s="263">
        <f>E9*'Calc-MEAV'!$N28</f>
        <v>0.048362918314341266</v>
      </c>
      <c r="F13" s="263">
        <f>E9*'Calc-MEAV'!$N29</f>
        <v>0.03379844531291787</v>
      </c>
      <c r="G13" s="263">
        <f>E9*'Calc-MEAV'!$N30</f>
        <v>0.0286886684271481</v>
      </c>
      <c r="H13" s="263">
        <f>E9*'Calc-MEAV'!$N31</f>
        <v>0.23210312893948032</v>
      </c>
    </row>
    <row r="14" spans="1:8" ht="12.75">
      <c r="A14" s="1368" t="s">
        <v>571</v>
      </c>
      <c r="B14" s="263">
        <f t="shared" si="0"/>
        <v>0.6007661417458637</v>
      </c>
      <c r="C14" s="263">
        <f t="shared" si="0"/>
        <v>0.8954771311977315</v>
      </c>
      <c r="D14" s="263">
        <f t="shared" si="0"/>
        <v>0.9181763094838433</v>
      </c>
      <c r="E14" s="263">
        <f>E10</f>
        <v>0.7381496711545463</v>
      </c>
      <c r="F14" s="263">
        <f>E10</f>
        <v>0.7381496711545463</v>
      </c>
      <c r="G14" s="263">
        <f>E10</f>
        <v>0.7381496711545463</v>
      </c>
      <c r="H14" s="263">
        <f>E10</f>
        <v>0.7381496711545463</v>
      </c>
    </row>
    <row r="16" spans="1:8" ht="12.75">
      <c r="A16" s="1369"/>
      <c r="B16" s="1374" t="s">
        <v>875</v>
      </c>
      <c r="C16" s="1374" t="s">
        <v>874</v>
      </c>
      <c r="D16" s="1374" t="s">
        <v>779</v>
      </c>
      <c r="E16" s="1374" t="s">
        <v>878</v>
      </c>
      <c r="G16" s="1369"/>
      <c r="H16" s="1369"/>
    </row>
    <row r="17" spans="1:8" ht="12.75">
      <c r="A17" s="1369" t="s">
        <v>6</v>
      </c>
      <c r="B17" s="851">
        <v>0.099</v>
      </c>
      <c r="C17" s="263">
        <v>0.54</v>
      </c>
      <c r="D17" s="263">
        <v>1</v>
      </c>
      <c r="E17" s="263">
        <v>1</v>
      </c>
      <c r="G17" s="1369"/>
      <c r="H17" s="1369"/>
    </row>
    <row r="19" spans="1:2" ht="12.75">
      <c r="A19" s="1369" t="s">
        <v>44</v>
      </c>
      <c r="B19" s="1374" t="s">
        <v>45</v>
      </c>
    </row>
    <row r="20" ht="12.75">
      <c r="B20" s="1369" t="b">
        <v>1</v>
      </c>
    </row>
    <row r="21" ht="12.75">
      <c r="A21" s="1369" t="s">
        <v>7</v>
      </c>
    </row>
    <row r="23" spans="2:13" ht="12.75">
      <c r="B23" s="1398" t="s">
        <v>27</v>
      </c>
      <c r="C23" s="1398"/>
      <c r="D23" s="1398"/>
      <c r="E23" s="1398"/>
      <c r="F23" s="1398" t="s">
        <v>717</v>
      </c>
      <c r="G23" s="1398"/>
      <c r="H23" s="1398"/>
      <c r="I23" s="1398"/>
      <c r="J23" s="1398" t="s">
        <v>718</v>
      </c>
      <c r="K23" s="1398"/>
      <c r="L23" s="1398"/>
      <c r="M23" s="1398"/>
    </row>
    <row r="24" spans="1:13" ht="63.75">
      <c r="A24" s="850" t="s">
        <v>84</v>
      </c>
      <c r="B24" s="850" t="s">
        <v>46</v>
      </c>
      <c r="C24" s="850" t="s">
        <v>47</v>
      </c>
      <c r="D24" s="850" t="s">
        <v>48</v>
      </c>
      <c r="E24" s="850" t="s">
        <v>85</v>
      </c>
      <c r="F24" s="850" t="s">
        <v>83</v>
      </c>
      <c r="G24" s="850" t="s">
        <v>880</v>
      </c>
      <c r="H24" s="850" t="s">
        <v>4</v>
      </c>
      <c r="I24" s="850" t="s">
        <v>878</v>
      </c>
      <c r="J24" s="850" t="s">
        <v>83</v>
      </c>
      <c r="K24" s="850" t="s">
        <v>880</v>
      </c>
      <c r="L24" s="850" t="s">
        <v>4</v>
      </c>
      <c r="M24" s="850" t="s">
        <v>878</v>
      </c>
    </row>
    <row r="25" spans="1:13" ht="12.75">
      <c r="A25" s="1392" t="s">
        <v>86</v>
      </c>
      <c r="B25" s="1389">
        <f>IF((SUM(B$13:H$13)-SUMPRODUCT(F25:I25,E$13:H$13))/(1-SUMPRODUCT(J25:M25,E$13:H$13))&gt;1,1,(SUM(B$13:H$13)-SUMPRODUCT(F25:I25,E$13:H$13))/(1-SUMPRODUCT(J25:M25,E$13:H$13)))</f>
        <v>0.9087572727340956</v>
      </c>
      <c r="C25" s="1389">
        <f>IF((SUM(C$13:H$13)-SUMPRODUCT(F25:I25,E$13:H$13))/(1-B$13-SUMPRODUCT(J25:M25,E$13:H$13))&gt;1,1,(SUM(C$13:H$13)-SUMPRODUCT(F25:I25,E$13:H$13))/(1-B$13-SUMPRODUCT(J25:M25,E$13:H$13)))</f>
        <v>0.8708356648453093</v>
      </c>
      <c r="D25" s="1389">
        <f>IF((SUM(D$13:H$13)-SUMPRODUCT(F25:I25,E$13:H$13))/(1-SUM(B$13:C$13)-SUMPRODUCT(J25:M25,E$13:H$13))&gt;1,1,(SUM(D$13:H$13)-SUMPRODUCT(F25:I25,E$13:H$13))/(1-SUM(B$13:C$13)-SUMPRODUCT(J25:M25,E$13:H$13)))</f>
        <v>0.8547717670801313</v>
      </c>
      <c r="E25" s="1389">
        <f>IF((SUM(E$13:H$13)-SUMPRODUCT(F25:I25,E$13:H$13))/(1-SUM(B$13:D$13)-SUMPRODUCT(J25:M25,E$13:H$13))&gt;1,1,(SUM(E$13:H$13)-SUMPRODUCT(F25:I25,E$13:H$13))/(1-SUM(B$13:D$13)-SUMPRODUCT(J25:M25,E$13:H$13)))</f>
        <v>0.7898581498972849</v>
      </c>
      <c r="F25" s="1390">
        <v>0</v>
      </c>
      <c r="G25" s="1390">
        <v>0</v>
      </c>
      <c r="H25" s="1390">
        <v>0</v>
      </c>
      <c r="I25" s="1390">
        <v>0</v>
      </c>
      <c r="J25" s="1391">
        <v>0</v>
      </c>
      <c r="K25" s="1391">
        <v>0</v>
      </c>
      <c r="L25" s="1391">
        <v>0</v>
      </c>
      <c r="M25" s="1391">
        <v>0</v>
      </c>
    </row>
    <row r="26" spans="1:13" ht="12" customHeight="1">
      <c r="A26" s="1392" t="s">
        <v>510</v>
      </c>
      <c r="B26" s="1389">
        <f>IF((SUM(B$13:H$13)-SUMPRODUCT(F26:I26,E$13:H$13))/(1-SUMPRODUCT(J26:M26,E$13:H$13))&gt;1,1,(SUM(B$13:H$13)-SUMPRODUCT(F26:I26,E$13:H$13))/(1-SUMPRODUCT(J26:M26,E$13:H$13)))</f>
        <v>0.7374304244334768</v>
      </c>
      <c r="C26" s="1389">
        <f>IF((SUM(C$13:H$13)-SUMPRODUCT(F26:I26,E$13:H$13))/(1-B$13-SUMPRODUCT(J26:M26,E$13:H$13))&gt;1,1,(SUM(C$13:H$13)-SUMPRODUCT(F26:I26,E$13:H$13))/(1-B$13-SUMPRODUCT(J26:M26,E$13:H$13)))</f>
        <v>0.6283032557645555</v>
      </c>
      <c r="D26" s="1389">
        <f>IF((SUM(D$13:H$13)-SUMPRODUCT(F26:I26,E$13:H$13))/(1-SUM(B$13:C$13)-SUMPRODUCT(J26:M26,E$13:H$13))&gt;1,1,(SUM(D$13:H$13)-SUMPRODUCT(F26:I26,E$13:H$13))/(1-SUM(B$13:C$13)-SUMPRODUCT(J26:M26,E$13:H$13)))</f>
        <v>0.5820761103850143</v>
      </c>
      <c r="E26" s="1389">
        <f>IF((SUM(E$13:H$13)-SUMPRODUCT(F26:I26,E$13:H$13))/(1-SUM(B$13:D$13)-SUMPRODUCT(J26:M26,E$13:H$13))&gt;1,1,(SUM(E$13:H$13)-SUMPRODUCT(F26:I26,E$13:H$13))/(1-SUM(B$13:D$13)-SUMPRODUCT(J26:M26,E$13:H$13)))</f>
        <v>0.39527392435964265</v>
      </c>
      <c r="F26" s="1390">
        <v>0</v>
      </c>
      <c r="G26" s="1390">
        <v>0</v>
      </c>
      <c r="H26" s="1390">
        <v>0</v>
      </c>
      <c r="I26" s="1390">
        <f>IF($B$20,$E$17*$H$14,1)</f>
        <v>0.7381496711545463</v>
      </c>
      <c r="J26" s="1391">
        <v>0</v>
      </c>
      <c r="K26" s="1391">
        <v>0</v>
      </c>
      <c r="L26" s="1391">
        <v>0</v>
      </c>
      <c r="M26" s="1391">
        <v>0</v>
      </c>
    </row>
    <row r="27" spans="1:13" ht="12.75">
      <c r="A27" s="1392" t="s">
        <v>511</v>
      </c>
      <c r="B27" s="1389">
        <f>IF((SUM(B$13:H$13)-SUMPRODUCT(F27:I27,E$13:H$13))/(1-SUMPRODUCT(J27:M27,E$13:H$13))&gt;1,1,(SUM(B$13:H$13)-SUMPRODUCT(F27:I27,E$13:H$13))/(1-SUMPRODUCT(J27:M27,E$13:H$13)))</f>
        <v>0.6479654753674671</v>
      </c>
      <c r="C27" s="1389">
        <f>IF((SUM(C$13:H$13)-SUMPRODUCT(F27:I27,E$13:H$13))/(1-B$13-SUMPRODUCT(J27:M27,E$13:H$13))&gt;1,1,(SUM(C$13:H$13)-SUMPRODUCT(F27:I27,E$13:H$13))/(1-B$13-SUMPRODUCT(J27:M27,E$13:H$13)))</f>
        <v>0.5016555654551323</v>
      </c>
      <c r="D27" s="1389">
        <f>IF((SUM(D$13:H$13)-SUMPRODUCT(F27:I27,E$13:H$13))/(1-SUM(B$13:C$13)-SUMPRODUCT(J27:M27,E$13:H$13))&gt;1,1,(SUM(D$13:H$13)-SUMPRODUCT(F27:I27,E$13:H$13))/(1-SUM(B$13:C$13)-SUMPRODUCT(J27:M27,E$13:H$13)))</f>
        <v>0.43967751215747286</v>
      </c>
      <c r="E27" s="1389">
        <f>IF((SUM(E$13:H$13)-SUMPRODUCT(F27:I27,E$13:H$13))/(1-SUM(B$13:D$13)-SUMPRODUCT(J27:M27,E$13:H$13))&gt;1,1,(SUM(E$13:H$13)-SUMPRODUCT(F27:I27,E$13:H$13))/(1-SUM(B$13:D$13)-SUMPRODUCT(J27:M27,E$13:H$13)))</f>
        <v>0.18922648935380887</v>
      </c>
      <c r="F27" s="1390">
        <v>0</v>
      </c>
      <c r="G27" s="1390">
        <v>0</v>
      </c>
      <c r="H27" s="1390">
        <v>1</v>
      </c>
      <c r="I27" s="1390">
        <v>1</v>
      </c>
      <c r="J27" s="1391">
        <v>0</v>
      </c>
      <c r="K27" s="1391">
        <v>0</v>
      </c>
      <c r="L27" s="1391">
        <v>0</v>
      </c>
      <c r="M27" s="1391">
        <v>0</v>
      </c>
    </row>
    <row r="28" spans="1:13" ht="12.75">
      <c r="A28" s="1392" t="s">
        <v>512</v>
      </c>
      <c r="B28" s="1389">
        <f>IF((SUM(B$13:H$13)-SUMPRODUCT(F28:I28,E$13:H$13))/(1-SUMPRODUCT(J28:M28,E$13:H$13))&gt;1,1,(SUM(B$13:H$13)-SUMPRODUCT(F28:I28,E$13:H$13))/(1-SUMPRODUCT(J28:M28,E$13:H$13)))</f>
        <v>0.6230171640742019</v>
      </c>
      <c r="C28" s="1389">
        <f>IF((SUM(C$13:H$13)-SUMPRODUCT(F28:I28,E$13:H$13))/(1-B$13-SUMPRODUCT(J28:M28,E$13:H$13))&gt;1,1,(SUM(C$13:H$13)-SUMPRODUCT(F28:I28,E$13:H$13))/(1-B$13-SUMPRODUCT(J28:M28,E$13:H$13)))</f>
        <v>0.46633842689530086</v>
      </c>
      <c r="D28" s="1389">
        <f>IF((SUM(D$13:H$13)-SUMPRODUCT(F28:I28,E$13:H$13))/(1-SUM(B$13:C$13)-SUMPRODUCT(J28:M28,E$13:H$13))&gt;1,1,(SUM(D$13:H$13)-SUMPRODUCT(F28:I28,E$13:H$13))/(1-SUM(B$13:C$13)-SUMPRODUCT(J28:M28,E$13:H$13)))</f>
        <v>0.39996805506401284</v>
      </c>
      <c r="E28" s="1389">
        <f>IF((SUM(E$13:H$13)-SUMPRODUCT(F28:I28,E$13:H$13))/(1-SUM(B$13:D$13)-SUMPRODUCT(J28:M28,E$13:H$13))&gt;1,1,(SUM(E$13:H$13)-SUMPRODUCT(F28:I28,E$13:H$13))/(1-SUM(B$13:D$13)-SUMPRODUCT(J28:M28,E$13:H$13)))</f>
        <v>0.13176783539636305</v>
      </c>
      <c r="F28" s="1390">
        <v>0</v>
      </c>
      <c r="G28" s="1390">
        <f>IF($B$20,$D$17*$F$14,1)</f>
        <v>0.7381496711545463</v>
      </c>
      <c r="H28" s="1390">
        <v>1</v>
      </c>
      <c r="I28" s="1390">
        <v>1</v>
      </c>
      <c r="J28" s="1391">
        <v>0</v>
      </c>
      <c r="K28" s="1391">
        <v>0</v>
      </c>
      <c r="L28" s="1391">
        <v>0</v>
      </c>
      <c r="M28" s="1391">
        <v>0</v>
      </c>
    </row>
    <row r="29" spans="1:13" ht="12.75">
      <c r="A29" s="1392" t="s">
        <v>513</v>
      </c>
      <c r="B29" s="1389">
        <f>IF((SUM(B$13:H$13)-SUMPRODUCT(F29:I29,E$13:H$13))/(1-SUMPRODUCT(J29:M29,E$13:H$13))&gt;1,1,(SUM(B$13:H$13)-SUMPRODUCT(F29:I29,E$13:H$13))/(1-SUMPRODUCT(J29:M29,E$13:H$13)))</f>
        <v>0.565804111740208</v>
      </c>
      <c r="C29" s="1389">
        <f>IF((SUM(C$13:H$13)-SUMPRODUCT(F29:I29,E$13:H$13))/(1-B$13-SUMPRODUCT(J29:M29,E$13:H$13))&gt;1,1,(SUM(C$13:H$13)-SUMPRODUCT(F29:I29,E$13:H$13))/(1-B$13-SUMPRODUCT(J29:M29,E$13:H$13)))</f>
        <v>0.38534692117940034</v>
      </c>
      <c r="D29" s="1389">
        <f>IF((SUM(D$13:H$13)-SUMPRODUCT(F29:I29,E$13:H$13))/(1-SUM(B$13:C$13)-SUMPRODUCT(J29:M29,E$13:H$13))&gt;1,1,(SUM(D$13:H$13)-SUMPRODUCT(F29:I29,E$13:H$13))/(1-SUM(B$13:C$13)-SUMPRODUCT(J29:M29,E$13:H$13)))</f>
        <v>0.30890380545863305</v>
      </c>
      <c r="E29" s="1389">
        <f>IF((SUM(E$13:H$13)-SUMPRODUCT(F29:I29,E$13:H$13))/(1-SUM(B$13:D$13)-SUMPRODUCT(J29:M29,E$13:H$13))&gt;1,1,(SUM(E$13:H$13)-SUMPRODUCT(F29:I29,E$13:H$13))/(1-SUM(B$13:D$13)-SUMPRODUCT(J29:M29,E$13:H$13)))</f>
        <v>0</v>
      </c>
      <c r="F29" s="1390">
        <v>1</v>
      </c>
      <c r="G29" s="1390">
        <v>1</v>
      </c>
      <c r="H29" s="1390">
        <v>1</v>
      </c>
      <c r="I29" s="1390">
        <v>1</v>
      </c>
      <c r="J29" s="1391">
        <v>0</v>
      </c>
      <c r="K29" s="1391">
        <v>0</v>
      </c>
      <c r="L29" s="1391">
        <v>0</v>
      </c>
      <c r="M29" s="1391">
        <v>0</v>
      </c>
    </row>
    <row r="30" spans="1:13" ht="12.75">
      <c r="A30" s="850" t="s">
        <v>87</v>
      </c>
      <c r="B30" s="1389"/>
      <c r="C30" s="1389"/>
      <c r="D30" s="1389"/>
      <c r="E30" s="1389"/>
      <c r="F30" s="1390"/>
      <c r="G30" s="1390"/>
      <c r="H30" s="1390"/>
      <c r="I30" s="1390"/>
      <c r="J30" s="1391"/>
      <c r="K30" s="1391"/>
      <c r="L30" s="1391"/>
      <c r="M30" s="1391"/>
    </row>
    <row r="31" spans="1:13" ht="12.75">
      <c r="A31" s="850" t="s">
        <v>87</v>
      </c>
      <c r="B31" s="1389"/>
      <c r="C31" s="1389"/>
      <c r="D31" s="1389"/>
      <c r="E31" s="1389"/>
      <c r="F31" s="1390"/>
      <c r="G31" s="1390"/>
      <c r="H31" s="1390"/>
      <c r="I31" s="1390"/>
      <c r="J31" s="1391"/>
      <c r="K31" s="1391"/>
      <c r="L31" s="1391"/>
      <c r="M31" s="1391"/>
    </row>
    <row r="32" spans="1:13" ht="12.75">
      <c r="A32" s="850" t="s">
        <v>87</v>
      </c>
      <c r="B32" s="1389"/>
      <c r="C32" s="1389"/>
      <c r="D32" s="1389"/>
      <c r="E32" s="1389"/>
      <c r="F32" s="1390"/>
      <c r="G32" s="1390"/>
      <c r="H32" s="1390"/>
      <c r="I32" s="1390"/>
      <c r="J32" s="1391"/>
      <c r="K32" s="1391"/>
      <c r="L32" s="1391"/>
      <c r="M32" s="1391"/>
    </row>
    <row r="33" spans="1:13" ht="12.75">
      <c r="A33" s="850" t="s">
        <v>87</v>
      </c>
      <c r="B33" s="1389"/>
      <c r="C33" s="1389"/>
      <c r="D33" s="1389"/>
      <c r="E33" s="1389"/>
      <c r="F33" s="1390"/>
      <c r="G33" s="1390"/>
      <c r="H33" s="1390"/>
      <c r="I33" s="1390"/>
      <c r="J33" s="1391"/>
      <c r="K33" s="1391"/>
      <c r="L33" s="1391"/>
      <c r="M33" s="1391"/>
    </row>
    <row r="34" spans="1:13" ht="12.75">
      <c r="A34" s="850" t="s">
        <v>87</v>
      </c>
      <c r="B34" s="1389"/>
      <c r="C34" s="1389"/>
      <c r="D34" s="1389"/>
      <c r="E34" s="1389"/>
      <c r="F34" s="1390"/>
      <c r="G34" s="1390"/>
      <c r="H34" s="1390"/>
      <c r="I34" s="1390"/>
      <c r="J34" s="1391"/>
      <c r="K34" s="1391"/>
      <c r="L34" s="1391"/>
      <c r="M34" s="1391"/>
    </row>
    <row r="35" spans="1:13" ht="12.75">
      <c r="A35" s="850" t="s">
        <v>87</v>
      </c>
      <c r="B35" s="1389"/>
      <c r="C35" s="1389"/>
      <c r="D35" s="1389"/>
      <c r="E35" s="1389"/>
      <c r="F35" s="1390"/>
      <c r="G35" s="1390"/>
      <c r="H35" s="1390"/>
      <c r="I35" s="1390"/>
      <c r="J35" s="1391"/>
      <c r="K35" s="1391"/>
      <c r="L35" s="1391"/>
      <c r="M35" s="1391"/>
    </row>
    <row r="36" spans="1:13" ht="12.75">
      <c r="A36" s="850" t="s">
        <v>87</v>
      </c>
      <c r="B36" s="1389"/>
      <c r="C36" s="1389"/>
      <c r="D36" s="1389"/>
      <c r="E36" s="1389"/>
      <c r="F36" s="1390"/>
      <c r="G36" s="1390"/>
      <c r="H36" s="1390"/>
      <c r="I36" s="1390"/>
      <c r="J36" s="1391"/>
      <c r="K36" s="1391"/>
      <c r="L36" s="1391"/>
      <c r="M36" s="1391"/>
    </row>
    <row r="37" spans="1:13" ht="12.75">
      <c r="A37" s="850" t="s">
        <v>87</v>
      </c>
      <c r="B37" s="1389"/>
      <c r="C37" s="1389"/>
      <c r="D37" s="1389"/>
      <c r="E37" s="1389"/>
      <c r="F37" s="1390"/>
      <c r="G37" s="1390"/>
      <c r="H37" s="1390"/>
      <c r="I37" s="1390"/>
      <c r="J37" s="1391"/>
      <c r="K37" s="1391"/>
      <c r="L37" s="1391"/>
      <c r="M37" s="1391"/>
    </row>
    <row r="38" spans="1:13" ht="12.75">
      <c r="A38" s="850" t="s">
        <v>87</v>
      </c>
      <c r="B38" s="1389"/>
      <c r="C38" s="1389"/>
      <c r="D38" s="1389"/>
      <c r="E38" s="1389"/>
      <c r="F38" s="1390"/>
      <c r="G38" s="1390"/>
      <c r="H38" s="1390"/>
      <c r="I38" s="1390"/>
      <c r="J38" s="1391"/>
      <c r="K38" s="1391"/>
      <c r="L38" s="1391"/>
      <c r="M38" s="1391"/>
    </row>
    <row r="39" spans="1:13" ht="12.75">
      <c r="A39" s="850" t="s">
        <v>87</v>
      </c>
      <c r="B39" s="1389"/>
      <c r="C39" s="1389"/>
      <c r="D39" s="1389"/>
      <c r="E39" s="1389"/>
      <c r="F39" s="1390"/>
      <c r="G39" s="1390"/>
      <c r="H39" s="1390"/>
      <c r="I39" s="1390"/>
      <c r="J39" s="1391"/>
      <c r="K39" s="1391"/>
      <c r="L39" s="1391"/>
      <c r="M39" s="1391"/>
    </row>
    <row r="40" spans="1:13" ht="12.75">
      <c r="A40" s="850" t="s">
        <v>87</v>
      </c>
      <c r="B40" s="1389"/>
      <c r="C40" s="1389"/>
      <c r="D40" s="1389"/>
      <c r="E40" s="1389"/>
      <c r="F40" s="1390"/>
      <c r="G40" s="1390"/>
      <c r="H40" s="1390"/>
      <c r="I40" s="1390"/>
      <c r="J40" s="1391"/>
      <c r="K40" s="1391"/>
      <c r="L40" s="1391"/>
      <c r="M40" s="1391"/>
    </row>
    <row r="42" ht="12.75">
      <c r="A42" s="850" t="s">
        <v>319</v>
      </c>
    </row>
    <row r="43" ht="25.5">
      <c r="A43" s="850" t="s">
        <v>320</v>
      </c>
    </row>
    <row r="44" spans="2:6" ht="25.5">
      <c r="B44" s="1393" t="s">
        <v>321</v>
      </c>
      <c r="C44" s="1393" t="s">
        <v>322</v>
      </c>
      <c r="D44" s="1393" t="s">
        <v>323</v>
      </c>
      <c r="E44" s="1393" t="s">
        <v>324</v>
      </c>
      <c r="F44" s="1393" t="s">
        <v>325</v>
      </c>
    </row>
    <row r="45" spans="1:6" ht="12.75">
      <c r="A45" s="850" t="s">
        <v>326</v>
      </c>
      <c r="B45" s="1394"/>
      <c r="C45" s="1395">
        <f>B9*(1-B10*B17)</f>
        <v>0.2761303114990458</v>
      </c>
      <c r="D45" s="1395">
        <f>B9+C9+D9*(1-D10*C17)</f>
        <v>0.46957858297225374</v>
      </c>
      <c r="E45" s="1395">
        <f>(C9+D9*(1-D10*C17))/(1-B9)</f>
        <v>0.249128870484791</v>
      </c>
      <c r="F45" s="1395">
        <f>D9*(1-D10*C17)/(1-B9-C9)</f>
        <v>0.15574460117461073</v>
      </c>
    </row>
    <row r="46" spans="1:6" ht="12.75">
      <c r="A46" s="850"/>
      <c r="B46" s="1394"/>
      <c r="C46" s="1395"/>
      <c r="D46" s="1395"/>
      <c r="E46" s="1395"/>
      <c r="F46" s="1395"/>
    </row>
  </sheetData>
  <sheetProtection/>
  <mergeCells count="4">
    <mergeCell ref="B3:F3"/>
    <mergeCell ref="B23:E23"/>
    <mergeCell ref="F23:I23"/>
    <mergeCell ref="J23:M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 alignWithMargins="0"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862" t="s">
        <v>805</v>
      </c>
      <c r="B1" s="862"/>
      <c r="F1" t="s">
        <v>806</v>
      </c>
      <c r="G1" s="857" t="s">
        <v>55</v>
      </c>
      <c r="I1" t="s">
        <v>806</v>
      </c>
      <c r="K1" t="s">
        <v>806</v>
      </c>
      <c r="L1" t="s">
        <v>806</v>
      </c>
      <c r="N1" t="s">
        <v>806</v>
      </c>
      <c r="P1" t="s">
        <v>806</v>
      </c>
      <c r="Q1" t="s">
        <v>806</v>
      </c>
      <c r="S1" t="s">
        <v>806</v>
      </c>
      <c r="U1" t="s">
        <v>806</v>
      </c>
      <c r="V1" t="s">
        <v>806</v>
      </c>
      <c r="X1" t="s">
        <v>806</v>
      </c>
      <c r="Z1" t="s">
        <v>806</v>
      </c>
      <c r="AA1" t="s">
        <v>806</v>
      </c>
      <c r="AC1" t="s">
        <v>806</v>
      </c>
      <c r="AE1" t="s">
        <v>806</v>
      </c>
    </row>
    <row r="2" spans="1:2" ht="12.75">
      <c r="A2" s="862"/>
      <c r="B2" s="862"/>
    </row>
    <row r="3" spans="1:2" ht="12.75">
      <c r="A3" s="862" t="s">
        <v>287</v>
      </c>
      <c r="B3" s="862"/>
    </row>
    <row r="4" spans="1:2" ht="12.75">
      <c r="A4" s="862"/>
      <c r="B4" s="862"/>
    </row>
    <row r="5" spans="1:2" ht="12.75">
      <c r="A5" s="862"/>
      <c r="B5" s="862" t="s">
        <v>288</v>
      </c>
    </row>
    <row r="6" ht="13.5" thickBot="1"/>
    <row r="7" spans="2:31" ht="13.5" thickBot="1">
      <c r="B7" s="282"/>
      <c r="C7" s="283"/>
      <c r="D7" s="283"/>
      <c r="E7" s="283"/>
      <c r="F7" s="284"/>
      <c r="G7" s="1447" t="s">
        <v>532</v>
      </c>
      <c r="H7" s="1448"/>
      <c r="I7" s="1448"/>
      <c r="J7" s="1448"/>
      <c r="K7" s="1449"/>
      <c r="L7" s="1447" t="s">
        <v>533</v>
      </c>
      <c r="M7" s="1448"/>
      <c r="N7" s="1448"/>
      <c r="O7" s="1448"/>
      <c r="P7" s="1449"/>
      <c r="Q7" s="1450" t="s">
        <v>529</v>
      </c>
      <c r="R7" s="1451"/>
      <c r="S7" s="1451"/>
      <c r="T7" s="1451"/>
      <c r="U7" s="1452"/>
      <c r="V7" s="1450" t="s">
        <v>534</v>
      </c>
      <c r="W7" s="1451"/>
      <c r="X7" s="1451"/>
      <c r="Y7" s="1451"/>
      <c r="Z7" s="1452"/>
      <c r="AA7" s="1450" t="s">
        <v>535</v>
      </c>
      <c r="AB7" s="1451"/>
      <c r="AC7" s="1451"/>
      <c r="AD7" s="1451"/>
      <c r="AE7" s="1452"/>
    </row>
    <row r="8" spans="2:31" ht="38.25">
      <c r="B8" s="285"/>
      <c r="C8" s="286"/>
      <c r="D8" s="286"/>
      <c r="E8" s="286" t="s">
        <v>220</v>
      </c>
      <c r="F8" s="287" t="s">
        <v>426</v>
      </c>
      <c r="G8" s="1445" t="s">
        <v>808</v>
      </c>
      <c r="H8" s="1446"/>
      <c r="I8" s="1445" t="s">
        <v>701</v>
      </c>
      <c r="J8" s="1446"/>
      <c r="K8" s="288" t="s">
        <v>702</v>
      </c>
      <c r="L8" s="1445" t="s">
        <v>808</v>
      </c>
      <c r="M8" s="1446"/>
      <c r="N8" s="1445" t="s">
        <v>701</v>
      </c>
      <c r="O8" s="1446"/>
      <c r="P8" s="289" t="s">
        <v>702</v>
      </c>
      <c r="Q8" s="1445" t="s">
        <v>808</v>
      </c>
      <c r="R8" s="1446"/>
      <c r="S8" s="1445" t="s">
        <v>701</v>
      </c>
      <c r="T8" s="1446"/>
      <c r="U8" s="288" t="s">
        <v>702</v>
      </c>
      <c r="V8" s="1445" t="s">
        <v>808</v>
      </c>
      <c r="W8" s="1446"/>
      <c r="X8" s="1445" t="s">
        <v>701</v>
      </c>
      <c r="Y8" s="1446"/>
      <c r="Z8" s="289" t="s">
        <v>702</v>
      </c>
      <c r="AA8" s="1445" t="s">
        <v>808</v>
      </c>
      <c r="AB8" s="1446"/>
      <c r="AC8" s="1445" t="s">
        <v>701</v>
      </c>
      <c r="AD8" s="1446"/>
      <c r="AE8" s="289" t="s">
        <v>269</v>
      </c>
    </row>
    <row r="9" spans="2:31" ht="13.5" thickBot="1">
      <c r="B9" s="290"/>
      <c r="C9" s="291"/>
      <c r="D9" s="291"/>
      <c r="E9" s="291"/>
      <c r="F9" s="1243"/>
      <c r="G9" s="1244" t="s">
        <v>270</v>
      </c>
      <c r="H9" s="1245" t="s">
        <v>271</v>
      </c>
      <c r="I9" s="1246" t="s">
        <v>270</v>
      </c>
      <c r="J9" s="1247" t="s">
        <v>271</v>
      </c>
      <c r="K9" s="1248" t="s">
        <v>532</v>
      </c>
      <c r="L9" s="1244" t="s">
        <v>270</v>
      </c>
      <c r="M9" s="1245" t="s">
        <v>271</v>
      </c>
      <c r="N9" s="1246" t="s">
        <v>270</v>
      </c>
      <c r="O9" s="1249" t="s">
        <v>271</v>
      </c>
      <c r="P9" s="1250" t="s">
        <v>533</v>
      </c>
      <c r="Q9" s="1244" t="s">
        <v>270</v>
      </c>
      <c r="R9" s="1245" t="s">
        <v>271</v>
      </c>
      <c r="S9" s="1246" t="s">
        <v>270</v>
      </c>
      <c r="T9" s="1247" t="s">
        <v>271</v>
      </c>
      <c r="U9" s="1248" t="s">
        <v>529</v>
      </c>
      <c r="V9" s="1244" t="s">
        <v>270</v>
      </c>
      <c r="W9" s="1245" t="s">
        <v>271</v>
      </c>
      <c r="X9" s="1246" t="s">
        <v>270</v>
      </c>
      <c r="Y9" s="1249" t="s">
        <v>271</v>
      </c>
      <c r="Z9" s="1250" t="s">
        <v>534</v>
      </c>
      <c r="AA9" s="1244" t="s">
        <v>270</v>
      </c>
      <c r="AB9" s="1245" t="s">
        <v>271</v>
      </c>
      <c r="AC9" s="1246" t="s">
        <v>270</v>
      </c>
      <c r="AD9" s="1249" t="s">
        <v>271</v>
      </c>
      <c r="AE9" s="1250" t="s">
        <v>535</v>
      </c>
    </row>
    <row r="10" spans="2:31" ht="12.75">
      <c r="B10" s="292"/>
      <c r="C10" s="293" t="s">
        <v>166</v>
      </c>
      <c r="D10" s="293"/>
      <c r="E10" s="294"/>
      <c r="F10" s="295"/>
      <c r="G10" s="296"/>
      <c r="H10" s="297"/>
      <c r="I10" s="296"/>
      <c r="J10" s="298"/>
      <c r="K10" s="295"/>
      <c r="L10" s="296"/>
      <c r="M10" s="297"/>
      <c r="N10" s="296"/>
      <c r="O10" s="298"/>
      <c r="P10" s="295"/>
      <c r="Q10" s="296"/>
      <c r="R10" s="297"/>
      <c r="S10" s="296"/>
      <c r="T10" s="298"/>
      <c r="U10" s="295"/>
      <c r="V10" s="296"/>
      <c r="W10" s="297"/>
      <c r="X10" s="296"/>
      <c r="Y10" s="297"/>
      <c r="Z10" s="295"/>
      <c r="AA10" s="296"/>
      <c r="AB10" s="297"/>
      <c r="AC10" s="296"/>
      <c r="AD10" s="297"/>
      <c r="AE10" s="295"/>
    </row>
    <row r="11" spans="2:31" ht="12.75">
      <c r="B11" s="292"/>
      <c r="C11" s="294"/>
      <c r="D11" s="299" t="s">
        <v>272</v>
      </c>
      <c r="E11" s="294"/>
      <c r="F11" s="300"/>
      <c r="G11" s="301"/>
      <c r="H11" s="302"/>
      <c r="I11" s="301"/>
      <c r="J11" s="303"/>
      <c r="K11" s="300"/>
      <c r="L11" s="301"/>
      <c r="M11" s="302"/>
      <c r="N11" s="301"/>
      <c r="O11" s="303"/>
      <c r="P11" s="300"/>
      <c r="Q11" s="301"/>
      <c r="R11" s="302"/>
      <c r="S11" s="301"/>
      <c r="T11" s="303"/>
      <c r="U11" s="304"/>
      <c r="V11" s="301"/>
      <c r="W11" s="302"/>
      <c r="X11" s="301"/>
      <c r="Y11" s="302"/>
      <c r="Z11" s="300"/>
      <c r="AA11" s="301"/>
      <c r="AB11" s="302"/>
      <c r="AC11" s="301"/>
      <c r="AD11" s="302"/>
      <c r="AE11" s="300"/>
    </row>
    <row r="12" spans="2:31" ht="12.75">
      <c r="B12" s="305"/>
      <c r="C12" s="294"/>
      <c r="D12" s="294"/>
      <c r="E12" s="294" t="s">
        <v>167</v>
      </c>
      <c r="F12" s="306">
        <v>4914</v>
      </c>
      <c r="G12" s="307">
        <v>22</v>
      </c>
      <c r="H12" s="308">
        <v>8</v>
      </c>
      <c r="I12" s="307">
        <v>214</v>
      </c>
      <c r="J12" s="308">
        <v>4</v>
      </c>
      <c r="K12" s="306">
        <v>5102</v>
      </c>
      <c r="L12" s="307">
        <v>62</v>
      </c>
      <c r="M12" s="308">
        <v>20</v>
      </c>
      <c r="N12" s="307">
        <v>9</v>
      </c>
      <c r="O12" s="308">
        <v>10</v>
      </c>
      <c r="P12" s="306">
        <v>5039</v>
      </c>
      <c r="Q12" s="307">
        <v>0</v>
      </c>
      <c r="R12" s="308">
        <v>21</v>
      </c>
      <c r="S12" s="307">
        <v>35</v>
      </c>
      <c r="T12" s="308">
        <v>18</v>
      </c>
      <c r="U12" s="309">
        <v>5071</v>
      </c>
      <c r="V12" s="307">
        <v>0</v>
      </c>
      <c r="W12" s="308">
        <v>45.7</v>
      </c>
      <c r="X12" s="307">
        <v>27.6</v>
      </c>
      <c r="Y12" s="308">
        <v>17.3</v>
      </c>
      <c r="Z12" s="306">
        <v>5070.2</v>
      </c>
      <c r="AA12" s="307">
        <v>0</v>
      </c>
      <c r="AB12" s="308">
        <v>148.3</v>
      </c>
      <c r="AC12" s="307">
        <v>25.5</v>
      </c>
      <c r="AD12" s="308">
        <v>64.3</v>
      </c>
      <c r="AE12" s="306">
        <v>5011.7</v>
      </c>
    </row>
    <row r="13" spans="2:31" ht="12.75">
      <c r="B13" s="305"/>
      <c r="C13" s="294"/>
      <c r="D13" s="294"/>
      <c r="E13" s="294" t="s">
        <v>168</v>
      </c>
      <c r="F13" s="306">
        <v>135999</v>
      </c>
      <c r="G13" s="307">
        <v>911</v>
      </c>
      <c r="H13" s="308">
        <v>1556</v>
      </c>
      <c r="I13" s="307">
        <v>48</v>
      </c>
      <c r="J13" s="310">
        <v>1633</v>
      </c>
      <c r="K13" s="306">
        <v>135213</v>
      </c>
      <c r="L13" s="307">
        <v>97</v>
      </c>
      <c r="M13" s="308">
        <v>1478</v>
      </c>
      <c r="N13" s="307">
        <v>77</v>
      </c>
      <c r="O13" s="310">
        <v>565</v>
      </c>
      <c r="P13" s="306">
        <v>134280</v>
      </c>
      <c r="Q13" s="307">
        <v>2469</v>
      </c>
      <c r="R13" s="308">
        <v>1419</v>
      </c>
      <c r="S13" s="307">
        <v>437</v>
      </c>
      <c r="T13" s="310">
        <v>732</v>
      </c>
      <c r="U13" s="309">
        <v>131561</v>
      </c>
      <c r="V13" s="307">
        <v>1942</v>
      </c>
      <c r="W13" s="308">
        <v>2476</v>
      </c>
      <c r="X13" s="307">
        <v>358</v>
      </c>
      <c r="Y13" s="308">
        <v>637</v>
      </c>
      <c r="Z13" s="306">
        <v>128138</v>
      </c>
      <c r="AA13" s="307">
        <v>1785</v>
      </c>
      <c r="AB13" s="308">
        <v>3377</v>
      </c>
      <c r="AC13" s="307">
        <v>371</v>
      </c>
      <c r="AD13" s="308">
        <v>1217</v>
      </c>
      <c r="AE13" s="306">
        <v>124564</v>
      </c>
    </row>
    <row r="14" spans="2:31" ht="12.75">
      <c r="B14" s="305"/>
      <c r="C14" s="294"/>
      <c r="D14" s="294"/>
      <c r="E14" s="294"/>
      <c r="F14" s="311"/>
      <c r="G14" s="312"/>
      <c r="H14" s="313"/>
      <c r="I14" s="312"/>
      <c r="J14" s="314"/>
      <c r="K14" s="311"/>
      <c r="L14" s="312"/>
      <c r="M14" s="313"/>
      <c r="N14" s="312"/>
      <c r="O14" s="314"/>
      <c r="P14" s="311"/>
      <c r="Q14" s="312"/>
      <c r="R14" s="313"/>
      <c r="S14" s="312"/>
      <c r="T14" s="314"/>
      <c r="U14" s="315"/>
      <c r="V14" s="312"/>
      <c r="W14" s="313"/>
      <c r="X14" s="312"/>
      <c r="Y14" s="313"/>
      <c r="Z14" s="311"/>
      <c r="AA14" s="312"/>
      <c r="AB14" s="313"/>
      <c r="AC14" s="312"/>
      <c r="AD14" s="313"/>
      <c r="AE14" s="311"/>
    </row>
    <row r="15" spans="2:31" ht="12.75">
      <c r="B15" s="305"/>
      <c r="C15" s="294"/>
      <c r="D15" s="299" t="s">
        <v>361</v>
      </c>
      <c r="E15" s="294"/>
      <c r="F15" s="311"/>
      <c r="G15" s="312"/>
      <c r="H15" s="313"/>
      <c r="I15" s="312"/>
      <c r="J15" s="314"/>
      <c r="K15" s="311"/>
      <c r="L15" s="312"/>
      <c r="M15" s="313"/>
      <c r="N15" s="312"/>
      <c r="O15" s="314"/>
      <c r="P15" s="311"/>
      <c r="Q15" s="312"/>
      <c r="R15" s="313"/>
      <c r="S15" s="312"/>
      <c r="T15" s="314"/>
      <c r="U15" s="315"/>
      <c r="V15" s="312"/>
      <c r="W15" s="313"/>
      <c r="X15" s="312"/>
      <c r="Y15" s="313"/>
      <c r="Z15" s="311"/>
      <c r="AA15" s="312"/>
      <c r="AB15" s="313"/>
      <c r="AC15" s="312"/>
      <c r="AD15" s="313"/>
      <c r="AE15" s="311"/>
    </row>
    <row r="16" spans="2:31" ht="12.75">
      <c r="B16" s="305"/>
      <c r="C16" s="294"/>
      <c r="D16" s="294"/>
      <c r="E16" s="294" t="s">
        <v>362</v>
      </c>
      <c r="F16" s="306">
        <v>123846</v>
      </c>
      <c r="G16" s="307">
        <v>134</v>
      </c>
      <c r="H16" s="308">
        <v>0</v>
      </c>
      <c r="I16" s="307">
        <v>61</v>
      </c>
      <c r="J16" s="310">
        <v>0</v>
      </c>
      <c r="K16" s="306">
        <v>123773</v>
      </c>
      <c r="L16" s="307">
        <v>228</v>
      </c>
      <c r="M16" s="308">
        <v>0</v>
      </c>
      <c r="N16" s="307">
        <v>335</v>
      </c>
      <c r="O16" s="310">
        <v>0</v>
      </c>
      <c r="P16" s="306">
        <v>123880</v>
      </c>
      <c r="Q16" s="307">
        <v>1316</v>
      </c>
      <c r="R16" s="308">
        <v>910</v>
      </c>
      <c r="S16" s="307">
        <v>1127</v>
      </c>
      <c r="T16" s="310">
        <v>910</v>
      </c>
      <c r="U16" s="309">
        <v>123691</v>
      </c>
      <c r="V16" s="307">
        <v>1035</v>
      </c>
      <c r="W16" s="308">
        <v>570</v>
      </c>
      <c r="X16" s="307">
        <v>902</v>
      </c>
      <c r="Y16" s="308">
        <v>142</v>
      </c>
      <c r="Z16" s="306">
        <v>123130</v>
      </c>
      <c r="AA16" s="307">
        <v>951</v>
      </c>
      <c r="AB16" s="308">
        <v>1458</v>
      </c>
      <c r="AC16" s="307">
        <v>872</v>
      </c>
      <c r="AD16" s="308">
        <v>400</v>
      </c>
      <c r="AE16" s="306">
        <v>121993</v>
      </c>
    </row>
    <row r="17" spans="2:31" ht="12.75">
      <c r="B17" s="305"/>
      <c r="C17" s="294"/>
      <c r="D17" s="294"/>
      <c r="E17" s="294"/>
      <c r="F17" s="311"/>
      <c r="G17" s="312"/>
      <c r="H17" s="313"/>
      <c r="I17" s="312"/>
      <c r="J17" s="314"/>
      <c r="K17" s="311"/>
      <c r="L17" s="312"/>
      <c r="M17" s="313"/>
      <c r="N17" s="312"/>
      <c r="O17" s="314"/>
      <c r="P17" s="311"/>
      <c r="Q17" s="312"/>
      <c r="R17" s="313"/>
      <c r="S17" s="312"/>
      <c r="T17" s="314"/>
      <c r="U17" s="315"/>
      <c r="V17" s="312"/>
      <c r="W17" s="313"/>
      <c r="X17" s="312"/>
      <c r="Y17" s="313"/>
      <c r="Z17" s="311"/>
      <c r="AA17" s="312"/>
      <c r="AB17" s="313"/>
      <c r="AC17" s="312"/>
      <c r="AD17" s="313"/>
      <c r="AE17" s="311"/>
    </row>
    <row r="18" spans="2:31" ht="12.75">
      <c r="B18" s="305"/>
      <c r="C18" s="294"/>
      <c r="D18" s="299" t="s">
        <v>612</v>
      </c>
      <c r="E18" s="294"/>
      <c r="F18" s="311"/>
      <c r="G18" s="312"/>
      <c r="H18" s="313"/>
      <c r="I18" s="312"/>
      <c r="J18" s="314"/>
      <c r="K18" s="311"/>
      <c r="L18" s="312"/>
      <c r="M18" s="313"/>
      <c r="N18" s="312"/>
      <c r="O18" s="314"/>
      <c r="P18" s="311"/>
      <c r="Q18" s="312"/>
      <c r="R18" s="313"/>
      <c r="S18" s="312"/>
      <c r="T18" s="314"/>
      <c r="U18" s="315"/>
      <c r="V18" s="312"/>
      <c r="W18" s="313"/>
      <c r="X18" s="312"/>
      <c r="Y18" s="313"/>
      <c r="Z18" s="311"/>
      <c r="AA18" s="312"/>
      <c r="AB18" s="313"/>
      <c r="AC18" s="312"/>
      <c r="AD18" s="313"/>
      <c r="AE18" s="311"/>
    </row>
    <row r="19" spans="2:31" ht="12.75">
      <c r="B19" s="305"/>
      <c r="C19" s="294"/>
      <c r="D19" s="299"/>
      <c r="E19" s="294" t="s">
        <v>545</v>
      </c>
      <c r="F19" s="306">
        <v>11</v>
      </c>
      <c r="G19" s="307">
        <v>0</v>
      </c>
      <c r="H19" s="308">
        <v>0</v>
      </c>
      <c r="I19" s="307">
        <v>0</v>
      </c>
      <c r="J19" s="310">
        <v>0</v>
      </c>
      <c r="K19" s="306">
        <v>11</v>
      </c>
      <c r="L19" s="307">
        <v>0</v>
      </c>
      <c r="M19" s="308">
        <v>0</v>
      </c>
      <c r="N19" s="307">
        <v>0</v>
      </c>
      <c r="O19" s="310">
        <v>0</v>
      </c>
      <c r="P19" s="306">
        <v>11</v>
      </c>
      <c r="Q19" s="307">
        <v>0</v>
      </c>
      <c r="R19" s="308">
        <v>0</v>
      </c>
      <c r="S19" s="307">
        <v>0</v>
      </c>
      <c r="T19" s="310">
        <v>0</v>
      </c>
      <c r="U19" s="309">
        <v>11</v>
      </c>
      <c r="V19" s="307">
        <v>0</v>
      </c>
      <c r="W19" s="308">
        <v>0</v>
      </c>
      <c r="X19" s="307">
        <v>0</v>
      </c>
      <c r="Y19" s="308">
        <v>0</v>
      </c>
      <c r="Z19" s="306">
        <v>11</v>
      </c>
      <c r="AA19" s="307">
        <v>0</v>
      </c>
      <c r="AB19" s="308">
        <v>0</v>
      </c>
      <c r="AC19" s="307">
        <v>0</v>
      </c>
      <c r="AD19" s="308">
        <v>0</v>
      </c>
      <c r="AE19" s="306">
        <v>11</v>
      </c>
    </row>
    <row r="20" spans="2:31" ht="12.75">
      <c r="B20" s="305"/>
      <c r="C20" s="294"/>
      <c r="D20" s="299"/>
      <c r="E20" s="294" t="s">
        <v>213</v>
      </c>
      <c r="F20" s="306">
        <v>13223</v>
      </c>
      <c r="G20" s="307">
        <v>0</v>
      </c>
      <c r="H20" s="308">
        <v>0</v>
      </c>
      <c r="I20" s="307">
        <v>655</v>
      </c>
      <c r="J20" s="310">
        <v>39</v>
      </c>
      <c r="K20" s="306">
        <v>13917</v>
      </c>
      <c r="L20" s="307">
        <v>0</v>
      </c>
      <c r="M20" s="308">
        <v>2</v>
      </c>
      <c r="N20" s="307">
        <v>310</v>
      </c>
      <c r="O20" s="310">
        <v>75</v>
      </c>
      <c r="P20" s="306">
        <v>14300</v>
      </c>
      <c r="Q20" s="307">
        <v>0</v>
      </c>
      <c r="R20" s="308">
        <v>0</v>
      </c>
      <c r="S20" s="307">
        <v>305</v>
      </c>
      <c r="T20" s="310">
        <v>50</v>
      </c>
      <c r="U20" s="309">
        <v>14655</v>
      </c>
      <c r="V20" s="307">
        <v>0</v>
      </c>
      <c r="W20" s="308">
        <v>1.4</v>
      </c>
      <c r="X20" s="307">
        <v>210.3</v>
      </c>
      <c r="Y20" s="308">
        <v>74.6</v>
      </c>
      <c r="Z20" s="306">
        <v>14938.5</v>
      </c>
      <c r="AA20" s="307">
        <v>0</v>
      </c>
      <c r="AB20" s="308">
        <v>1</v>
      </c>
      <c r="AC20" s="307">
        <v>196</v>
      </c>
      <c r="AD20" s="308">
        <v>78</v>
      </c>
      <c r="AE20" s="306">
        <v>15211.5</v>
      </c>
    </row>
    <row r="21" spans="2:31" ht="12.75">
      <c r="B21" s="305"/>
      <c r="C21" s="294"/>
      <c r="D21" s="299"/>
      <c r="E21" s="294" t="s">
        <v>214</v>
      </c>
      <c r="F21" s="306">
        <v>18395</v>
      </c>
      <c r="G21" s="307">
        <v>0</v>
      </c>
      <c r="H21" s="308">
        <v>7</v>
      </c>
      <c r="I21" s="307">
        <v>0</v>
      </c>
      <c r="J21" s="310">
        <v>0</v>
      </c>
      <c r="K21" s="306">
        <v>18388</v>
      </c>
      <c r="L21" s="307">
        <v>0</v>
      </c>
      <c r="M21" s="308">
        <v>31</v>
      </c>
      <c r="N21" s="307">
        <v>0</v>
      </c>
      <c r="O21" s="310">
        <v>0</v>
      </c>
      <c r="P21" s="306">
        <v>18357</v>
      </c>
      <c r="Q21" s="307">
        <v>0</v>
      </c>
      <c r="R21" s="308">
        <v>33</v>
      </c>
      <c r="S21" s="307">
        <v>0</v>
      </c>
      <c r="T21" s="310">
        <v>0</v>
      </c>
      <c r="U21" s="309">
        <v>18324</v>
      </c>
      <c r="V21" s="307">
        <v>0</v>
      </c>
      <c r="W21" s="308">
        <v>4</v>
      </c>
      <c r="X21" s="307">
        <v>0</v>
      </c>
      <c r="Y21" s="308">
        <v>0</v>
      </c>
      <c r="Z21" s="306">
        <v>18320</v>
      </c>
      <c r="AA21" s="307">
        <v>0</v>
      </c>
      <c r="AB21" s="308">
        <v>3</v>
      </c>
      <c r="AC21" s="307">
        <v>0</v>
      </c>
      <c r="AD21" s="308">
        <v>0</v>
      </c>
      <c r="AE21" s="306">
        <v>18317</v>
      </c>
    </row>
    <row r="22" spans="2:31" ht="12.75">
      <c r="B22" s="305"/>
      <c r="C22" s="294"/>
      <c r="D22" s="299"/>
      <c r="E22" s="294" t="s">
        <v>215</v>
      </c>
      <c r="F22" s="306">
        <v>2361332</v>
      </c>
      <c r="G22" s="307">
        <v>77</v>
      </c>
      <c r="H22" s="308">
        <v>1230</v>
      </c>
      <c r="I22" s="307">
        <v>27978</v>
      </c>
      <c r="J22" s="310">
        <v>1230</v>
      </c>
      <c r="K22" s="306">
        <v>2389233</v>
      </c>
      <c r="L22" s="307">
        <v>0</v>
      </c>
      <c r="M22" s="308">
        <v>1153</v>
      </c>
      <c r="N22" s="307">
        <v>23378</v>
      </c>
      <c r="O22" s="310">
        <v>2066</v>
      </c>
      <c r="P22" s="306">
        <v>2413524</v>
      </c>
      <c r="Q22" s="307">
        <v>0</v>
      </c>
      <c r="R22" s="308">
        <v>1684</v>
      </c>
      <c r="S22" s="307">
        <v>27485</v>
      </c>
      <c r="T22" s="310">
        <v>2371</v>
      </c>
      <c r="U22" s="309">
        <v>2441696</v>
      </c>
      <c r="V22" s="307">
        <v>0</v>
      </c>
      <c r="W22" s="308">
        <v>108</v>
      </c>
      <c r="X22" s="307">
        <v>20668.5</v>
      </c>
      <c r="Y22" s="308">
        <v>1787</v>
      </c>
      <c r="Z22" s="306">
        <v>2464043.5</v>
      </c>
      <c r="AA22" s="307">
        <v>0</v>
      </c>
      <c r="AB22" s="308">
        <v>262</v>
      </c>
      <c r="AC22" s="307">
        <v>18931.6</v>
      </c>
      <c r="AD22" s="308">
        <v>2406</v>
      </c>
      <c r="AE22" s="306">
        <v>2485119.1</v>
      </c>
    </row>
    <row r="23" spans="2:31" ht="12.75">
      <c r="B23" s="305"/>
      <c r="C23" s="294"/>
      <c r="D23" s="294"/>
      <c r="E23" s="294"/>
      <c r="F23" s="311"/>
      <c r="G23" s="312"/>
      <c r="H23" s="313"/>
      <c r="I23" s="312"/>
      <c r="J23" s="314"/>
      <c r="K23" s="311"/>
      <c r="L23" s="312"/>
      <c r="M23" s="313"/>
      <c r="N23" s="312"/>
      <c r="O23" s="314"/>
      <c r="P23" s="311"/>
      <c r="Q23" s="312"/>
      <c r="R23" s="313"/>
      <c r="S23" s="312"/>
      <c r="T23" s="314"/>
      <c r="U23" s="315"/>
      <c r="V23" s="312"/>
      <c r="W23" s="313"/>
      <c r="X23" s="312"/>
      <c r="Y23" s="313"/>
      <c r="Z23" s="311"/>
      <c r="AA23" s="312"/>
      <c r="AB23" s="313"/>
      <c r="AC23" s="312"/>
      <c r="AD23" s="313"/>
      <c r="AE23" s="311"/>
    </row>
    <row r="24" spans="2:31" ht="12.75">
      <c r="B24" s="305"/>
      <c r="C24" s="294"/>
      <c r="D24" s="299" t="s">
        <v>216</v>
      </c>
      <c r="E24" s="294"/>
      <c r="F24" s="311"/>
      <c r="G24" s="312"/>
      <c r="H24" s="313"/>
      <c r="I24" s="312"/>
      <c r="J24" s="314"/>
      <c r="K24" s="311"/>
      <c r="L24" s="312"/>
      <c r="M24" s="313"/>
      <c r="N24" s="312"/>
      <c r="O24" s="314"/>
      <c r="P24" s="311"/>
      <c r="Q24" s="312"/>
      <c r="R24" s="313"/>
      <c r="S24" s="312"/>
      <c r="T24" s="314"/>
      <c r="U24" s="315"/>
      <c r="V24" s="312"/>
      <c r="W24" s="313"/>
      <c r="X24" s="312"/>
      <c r="Y24" s="313"/>
      <c r="Z24" s="311"/>
      <c r="AA24" s="312"/>
      <c r="AB24" s="313"/>
      <c r="AC24" s="312"/>
      <c r="AD24" s="313"/>
      <c r="AE24" s="311"/>
    </row>
    <row r="25" spans="2:31" ht="12.75">
      <c r="B25" s="305"/>
      <c r="C25" s="294"/>
      <c r="D25" s="299"/>
      <c r="E25" s="294" t="s">
        <v>217</v>
      </c>
      <c r="F25" s="306">
        <v>8541</v>
      </c>
      <c r="G25" s="307">
        <v>12</v>
      </c>
      <c r="H25" s="308">
        <v>49</v>
      </c>
      <c r="I25" s="307">
        <v>210</v>
      </c>
      <c r="J25" s="310">
        <v>49</v>
      </c>
      <c r="K25" s="306">
        <v>8739</v>
      </c>
      <c r="L25" s="307">
        <v>43</v>
      </c>
      <c r="M25" s="308">
        <v>105</v>
      </c>
      <c r="N25" s="307">
        <v>392</v>
      </c>
      <c r="O25" s="310">
        <v>105</v>
      </c>
      <c r="P25" s="306">
        <v>9088</v>
      </c>
      <c r="Q25" s="307">
        <v>0</v>
      </c>
      <c r="R25" s="308">
        <v>94</v>
      </c>
      <c r="S25" s="307">
        <v>259</v>
      </c>
      <c r="T25" s="310">
        <v>103</v>
      </c>
      <c r="U25" s="309">
        <v>9356</v>
      </c>
      <c r="V25" s="307">
        <v>0</v>
      </c>
      <c r="W25" s="308">
        <v>283</v>
      </c>
      <c r="X25" s="307">
        <v>204</v>
      </c>
      <c r="Y25" s="308">
        <v>143</v>
      </c>
      <c r="Z25" s="306">
        <v>9420</v>
      </c>
      <c r="AA25" s="307">
        <v>0</v>
      </c>
      <c r="AB25" s="308">
        <v>116</v>
      </c>
      <c r="AC25" s="307">
        <v>188</v>
      </c>
      <c r="AD25" s="308">
        <v>104</v>
      </c>
      <c r="AE25" s="306">
        <v>9596</v>
      </c>
    </row>
    <row r="26" spans="2:31" ht="12.75">
      <c r="B26" s="305"/>
      <c r="C26" s="294"/>
      <c r="D26" s="299"/>
      <c r="E26" s="294" t="s">
        <v>218</v>
      </c>
      <c r="F26" s="306">
        <v>7893</v>
      </c>
      <c r="G26" s="307">
        <v>0</v>
      </c>
      <c r="H26" s="308">
        <v>0</v>
      </c>
      <c r="I26" s="307">
        <v>80</v>
      </c>
      <c r="J26" s="310">
        <v>0</v>
      </c>
      <c r="K26" s="306">
        <v>7973</v>
      </c>
      <c r="L26" s="307">
        <v>3</v>
      </c>
      <c r="M26" s="308">
        <v>36</v>
      </c>
      <c r="N26" s="307">
        <v>0</v>
      </c>
      <c r="O26" s="310">
        <v>36</v>
      </c>
      <c r="P26" s="306">
        <v>7970</v>
      </c>
      <c r="Q26" s="307">
        <v>181</v>
      </c>
      <c r="R26" s="308">
        <v>0</v>
      </c>
      <c r="S26" s="307">
        <v>136</v>
      </c>
      <c r="T26" s="310">
        <v>0</v>
      </c>
      <c r="U26" s="309">
        <v>7925</v>
      </c>
      <c r="V26" s="307">
        <v>142</v>
      </c>
      <c r="W26" s="308">
        <v>0</v>
      </c>
      <c r="X26" s="307">
        <v>63</v>
      </c>
      <c r="Y26" s="308">
        <v>0</v>
      </c>
      <c r="Z26" s="306">
        <v>7846</v>
      </c>
      <c r="AA26" s="307">
        <v>131</v>
      </c>
      <c r="AB26" s="308">
        <v>0</v>
      </c>
      <c r="AC26" s="307">
        <v>57</v>
      </c>
      <c r="AD26" s="308">
        <v>0</v>
      </c>
      <c r="AE26" s="306">
        <v>7772</v>
      </c>
    </row>
    <row r="27" spans="2:31" ht="12.75">
      <c r="B27" s="305"/>
      <c r="C27" s="294"/>
      <c r="D27" s="299"/>
      <c r="E27" s="294" t="s">
        <v>757</v>
      </c>
      <c r="F27" s="306">
        <v>2425</v>
      </c>
      <c r="G27" s="307">
        <v>0</v>
      </c>
      <c r="H27" s="308">
        <v>0</v>
      </c>
      <c r="I27" s="307">
        <v>0</v>
      </c>
      <c r="J27" s="310">
        <v>0</v>
      </c>
      <c r="K27" s="306">
        <v>2425</v>
      </c>
      <c r="L27" s="307">
        <v>43</v>
      </c>
      <c r="M27" s="308">
        <v>0</v>
      </c>
      <c r="N27" s="307">
        <v>0</v>
      </c>
      <c r="O27" s="310">
        <v>0</v>
      </c>
      <c r="P27" s="306">
        <v>2382</v>
      </c>
      <c r="Q27" s="307">
        <v>33</v>
      </c>
      <c r="R27" s="308">
        <v>0</v>
      </c>
      <c r="S27" s="307">
        <v>0</v>
      </c>
      <c r="T27" s="310">
        <v>0</v>
      </c>
      <c r="U27" s="309">
        <v>2349</v>
      </c>
      <c r="V27" s="307">
        <v>26</v>
      </c>
      <c r="W27" s="308">
        <v>0</v>
      </c>
      <c r="X27" s="307">
        <v>0</v>
      </c>
      <c r="Y27" s="308">
        <v>0</v>
      </c>
      <c r="Z27" s="306">
        <v>2323</v>
      </c>
      <c r="AA27" s="307">
        <v>24</v>
      </c>
      <c r="AB27" s="308">
        <v>0</v>
      </c>
      <c r="AC27" s="307">
        <v>0</v>
      </c>
      <c r="AD27" s="308">
        <v>0</v>
      </c>
      <c r="AE27" s="306">
        <v>2299</v>
      </c>
    </row>
    <row r="28" spans="2:31" ht="12.75">
      <c r="B28" s="305"/>
      <c r="C28" s="294"/>
      <c r="D28" s="299"/>
      <c r="E28" s="294" t="s">
        <v>758</v>
      </c>
      <c r="F28" s="306">
        <v>27050</v>
      </c>
      <c r="G28" s="307">
        <v>0</v>
      </c>
      <c r="H28" s="308">
        <v>1</v>
      </c>
      <c r="I28" s="307">
        <v>63</v>
      </c>
      <c r="J28" s="310">
        <v>9</v>
      </c>
      <c r="K28" s="306">
        <v>27121</v>
      </c>
      <c r="L28" s="307">
        <v>0</v>
      </c>
      <c r="M28" s="308">
        <v>159</v>
      </c>
      <c r="N28" s="307">
        <v>127</v>
      </c>
      <c r="O28" s="310">
        <v>136</v>
      </c>
      <c r="P28" s="306">
        <v>27225</v>
      </c>
      <c r="Q28" s="307">
        <v>0</v>
      </c>
      <c r="R28" s="308">
        <v>330</v>
      </c>
      <c r="S28" s="307">
        <v>484</v>
      </c>
      <c r="T28" s="310">
        <v>155</v>
      </c>
      <c r="U28" s="309">
        <v>27534</v>
      </c>
      <c r="V28" s="307">
        <v>0</v>
      </c>
      <c r="W28" s="308">
        <v>340</v>
      </c>
      <c r="X28" s="307">
        <v>392</v>
      </c>
      <c r="Y28" s="308">
        <v>457</v>
      </c>
      <c r="Z28" s="306">
        <v>28043</v>
      </c>
      <c r="AA28" s="307">
        <v>0</v>
      </c>
      <c r="AB28" s="308">
        <v>33</v>
      </c>
      <c r="AC28" s="307">
        <v>391</v>
      </c>
      <c r="AD28" s="308">
        <v>123</v>
      </c>
      <c r="AE28" s="306">
        <v>28524</v>
      </c>
    </row>
    <row r="29" spans="2:31" ht="12.75">
      <c r="B29" s="305"/>
      <c r="C29" s="294"/>
      <c r="D29" s="299"/>
      <c r="E29" s="294" t="s">
        <v>649</v>
      </c>
      <c r="F29" s="306">
        <v>22689</v>
      </c>
      <c r="G29" s="307">
        <v>0</v>
      </c>
      <c r="H29" s="308">
        <v>0</v>
      </c>
      <c r="I29" s="307">
        <v>31</v>
      </c>
      <c r="J29" s="310">
        <v>0</v>
      </c>
      <c r="K29" s="306">
        <v>22720</v>
      </c>
      <c r="L29" s="307">
        <v>109</v>
      </c>
      <c r="M29" s="308">
        <v>0</v>
      </c>
      <c r="N29" s="307">
        <v>88</v>
      </c>
      <c r="O29" s="310">
        <v>0</v>
      </c>
      <c r="P29" s="306">
        <v>22699</v>
      </c>
      <c r="Q29" s="307">
        <v>485</v>
      </c>
      <c r="R29" s="308">
        <v>0</v>
      </c>
      <c r="S29" s="307">
        <v>484</v>
      </c>
      <c r="T29" s="310">
        <v>0</v>
      </c>
      <c r="U29" s="309">
        <v>22698</v>
      </c>
      <c r="V29" s="307">
        <v>382</v>
      </c>
      <c r="W29" s="308">
        <v>0</v>
      </c>
      <c r="X29" s="307">
        <v>380</v>
      </c>
      <c r="Y29" s="308">
        <v>0</v>
      </c>
      <c r="Z29" s="306">
        <v>22696</v>
      </c>
      <c r="AA29" s="307">
        <v>351</v>
      </c>
      <c r="AB29" s="308">
        <v>0</v>
      </c>
      <c r="AC29" s="307">
        <v>347</v>
      </c>
      <c r="AD29" s="308">
        <v>0</v>
      </c>
      <c r="AE29" s="306">
        <v>22692</v>
      </c>
    </row>
    <row r="30" spans="2:31" ht="12.75">
      <c r="B30" s="305"/>
      <c r="C30" s="294"/>
      <c r="D30" s="299"/>
      <c r="E30" s="294" t="s">
        <v>650</v>
      </c>
      <c r="F30" s="306">
        <v>0</v>
      </c>
      <c r="G30" s="307">
        <v>0</v>
      </c>
      <c r="H30" s="308">
        <v>0</v>
      </c>
      <c r="I30" s="307">
        <v>0</v>
      </c>
      <c r="J30" s="310">
        <v>0</v>
      </c>
      <c r="K30" s="306">
        <v>0</v>
      </c>
      <c r="L30" s="307">
        <v>0</v>
      </c>
      <c r="M30" s="308">
        <v>0</v>
      </c>
      <c r="N30" s="307">
        <v>0</v>
      </c>
      <c r="O30" s="310">
        <v>0</v>
      </c>
      <c r="P30" s="306">
        <v>0</v>
      </c>
      <c r="Q30" s="307">
        <v>0</v>
      </c>
      <c r="R30" s="308">
        <v>0</v>
      </c>
      <c r="S30" s="307">
        <v>0</v>
      </c>
      <c r="T30" s="310">
        <v>0</v>
      </c>
      <c r="U30" s="309">
        <v>0</v>
      </c>
      <c r="V30" s="307">
        <v>0</v>
      </c>
      <c r="W30" s="308">
        <v>0</v>
      </c>
      <c r="X30" s="307">
        <v>0</v>
      </c>
      <c r="Y30" s="308">
        <v>0</v>
      </c>
      <c r="Z30" s="306">
        <v>0</v>
      </c>
      <c r="AA30" s="307">
        <v>0</v>
      </c>
      <c r="AB30" s="308">
        <v>0</v>
      </c>
      <c r="AC30" s="307">
        <v>0</v>
      </c>
      <c r="AD30" s="308">
        <v>0</v>
      </c>
      <c r="AE30" s="306">
        <v>0</v>
      </c>
    </row>
    <row r="31" spans="2:31" ht="13.5" thickBot="1">
      <c r="B31" s="290"/>
      <c r="C31" s="291"/>
      <c r="D31" s="291"/>
      <c r="E31" s="291"/>
      <c r="F31" s="316"/>
      <c r="G31" s="317"/>
      <c r="H31" s="318"/>
      <c r="I31" s="317"/>
      <c r="J31" s="319"/>
      <c r="K31" s="320"/>
      <c r="L31" s="317"/>
      <c r="M31" s="318"/>
      <c r="N31" s="317"/>
      <c r="O31" s="319"/>
      <c r="P31" s="320"/>
      <c r="Q31" s="317"/>
      <c r="R31" s="318"/>
      <c r="S31" s="317"/>
      <c r="T31" s="319"/>
      <c r="U31" s="321"/>
      <c r="V31" s="317"/>
      <c r="W31" s="318"/>
      <c r="X31" s="317"/>
      <c r="Y31" s="318"/>
      <c r="Z31" s="320"/>
      <c r="AA31" s="317"/>
      <c r="AB31" s="318"/>
      <c r="AC31" s="317"/>
      <c r="AD31" s="318"/>
      <c r="AE31" s="320"/>
    </row>
    <row r="32" spans="2:31" ht="12.75">
      <c r="B32" s="322"/>
      <c r="C32" s="323" t="s">
        <v>651</v>
      </c>
      <c r="D32" s="323"/>
      <c r="E32" s="324"/>
      <c r="F32" s="311"/>
      <c r="G32" s="312"/>
      <c r="H32" s="313"/>
      <c r="I32" s="312"/>
      <c r="J32" s="314"/>
      <c r="K32" s="311"/>
      <c r="L32" s="312"/>
      <c r="M32" s="313"/>
      <c r="N32" s="312"/>
      <c r="O32" s="314"/>
      <c r="P32" s="311"/>
      <c r="Q32" s="312"/>
      <c r="R32" s="313"/>
      <c r="S32" s="312"/>
      <c r="T32" s="314"/>
      <c r="U32" s="315"/>
      <c r="V32" s="312"/>
      <c r="W32" s="313"/>
      <c r="X32" s="312"/>
      <c r="Y32" s="313"/>
      <c r="Z32" s="311"/>
      <c r="AA32" s="312"/>
      <c r="AB32" s="313"/>
      <c r="AC32" s="312"/>
      <c r="AD32" s="313"/>
      <c r="AE32" s="311"/>
    </row>
    <row r="33" spans="2:31" ht="12.75">
      <c r="B33" s="305"/>
      <c r="C33" s="294"/>
      <c r="D33" s="299" t="s">
        <v>272</v>
      </c>
      <c r="E33" s="294"/>
      <c r="F33" s="311"/>
      <c r="G33" s="312"/>
      <c r="H33" s="313"/>
      <c r="I33" s="312"/>
      <c r="J33" s="314"/>
      <c r="K33" s="311"/>
      <c r="L33" s="312"/>
      <c r="M33" s="313"/>
      <c r="N33" s="312"/>
      <c r="O33" s="314"/>
      <c r="P33" s="311"/>
      <c r="Q33" s="312"/>
      <c r="R33" s="313"/>
      <c r="S33" s="312"/>
      <c r="T33" s="314"/>
      <c r="U33" s="315"/>
      <c r="V33" s="312"/>
      <c r="W33" s="313"/>
      <c r="X33" s="312"/>
      <c r="Y33" s="313"/>
      <c r="Z33" s="311"/>
      <c r="AA33" s="312"/>
      <c r="AB33" s="313"/>
      <c r="AC33" s="312"/>
      <c r="AD33" s="313"/>
      <c r="AE33" s="311"/>
    </row>
    <row r="34" spans="2:31" ht="12.75">
      <c r="B34" s="305"/>
      <c r="C34" s="294"/>
      <c r="D34" s="299"/>
      <c r="E34" s="294" t="s">
        <v>652</v>
      </c>
      <c r="F34" s="306">
        <v>12571</v>
      </c>
      <c r="G34" s="307">
        <v>23</v>
      </c>
      <c r="H34" s="308">
        <v>22</v>
      </c>
      <c r="I34" s="307">
        <v>13</v>
      </c>
      <c r="J34" s="310">
        <v>22</v>
      </c>
      <c r="K34" s="306">
        <v>12561</v>
      </c>
      <c r="L34" s="307">
        <v>17</v>
      </c>
      <c r="M34" s="308">
        <v>43</v>
      </c>
      <c r="N34" s="307">
        <v>46</v>
      </c>
      <c r="O34" s="310">
        <v>43</v>
      </c>
      <c r="P34" s="306">
        <v>12590</v>
      </c>
      <c r="Q34" s="307">
        <v>78</v>
      </c>
      <c r="R34" s="308">
        <v>57</v>
      </c>
      <c r="S34" s="307">
        <v>60</v>
      </c>
      <c r="T34" s="310">
        <v>57</v>
      </c>
      <c r="U34" s="309">
        <v>12572</v>
      </c>
      <c r="V34" s="307">
        <v>34.3</v>
      </c>
      <c r="W34" s="308">
        <v>250.1</v>
      </c>
      <c r="X34" s="307">
        <v>26.8</v>
      </c>
      <c r="Y34" s="308">
        <v>219.4</v>
      </c>
      <c r="Z34" s="306">
        <v>12533.8</v>
      </c>
      <c r="AA34" s="307">
        <v>49.4</v>
      </c>
      <c r="AB34" s="308">
        <v>167.5</v>
      </c>
      <c r="AC34" s="307">
        <v>26</v>
      </c>
      <c r="AD34" s="308">
        <v>130.3</v>
      </c>
      <c r="AE34" s="306">
        <v>12473.2</v>
      </c>
    </row>
    <row r="35" spans="2:31" ht="12.75">
      <c r="B35" s="305"/>
      <c r="C35" s="294"/>
      <c r="D35" s="299"/>
      <c r="E35" s="294" t="s">
        <v>653</v>
      </c>
      <c r="F35" s="306">
        <v>22</v>
      </c>
      <c r="G35" s="307">
        <v>0</v>
      </c>
      <c r="H35" s="308">
        <v>0</v>
      </c>
      <c r="I35" s="307">
        <v>0</v>
      </c>
      <c r="J35" s="310">
        <v>0</v>
      </c>
      <c r="K35" s="306">
        <v>22</v>
      </c>
      <c r="L35" s="307">
        <v>0</v>
      </c>
      <c r="M35" s="308">
        <v>0</v>
      </c>
      <c r="N35" s="307">
        <v>0</v>
      </c>
      <c r="O35" s="310">
        <v>0</v>
      </c>
      <c r="P35" s="306">
        <v>22</v>
      </c>
      <c r="Q35" s="307">
        <v>1</v>
      </c>
      <c r="R35" s="308">
        <v>0</v>
      </c>
      <c r="S35" s="307">
        <v>0</v>
      </c>
      <c r="T35" s="310">
        <v>0</v>
      </c>
      <c r="U35" s="309">
        <v>21</v>
      </c>
      <c r="V35" s="307">
        <v>0.4</v>
      </c>
      <c r="W35" s="308">
        <v>0</v>
      </c>
      <c r="X35" s="307">
        <v>0</v>
      </c>
      <c r="Y35" s="308">
        <v>0</v>
      </c>
      <c r="Z35" s="306">
        <v>20.6</v>
      </c>
      <c r="AA35" s="307">
        <v>0.6</v>
      </c>
      <c r="AB35" s="308">
        <v>0</v>
      </c>
      <c r="AC35" s="307">
        <v>0</v>
      </c>
      <c r="AD35" s="308">
        <v>0</v>
      </c>
      <c r="AE35" s="306">
        <v>20</v>
      </c>
    </row>
    <row r="36" spans="2:31" ht="12.75">
      <c r="B36" s="305"/>
      <c r="C36" s="294"/>
      <c r="D36" s="294"/>
      <c r="E36" s="294" t="s">
        <v>654</v>
      </c>
      <c r="F36" s="306">
        <v>0</v>
      </c>
      <c r="G36" s="307">
        <v>0</v>
      </c>
      <c r="H36" s="308">
        <v>0</v>
      </c>
      <c r="I36" s="307">
        <v>0</v>
      </c>
      <c r="J36" s="310">
        <v>0</v>
      </c>
      <c r="K36" s="306">
        <v>0</v>
      </c>
      <c r="L36" s="307">
        <v>0</v>
      </c>
      <c r="M36" s="308">
        <v>0</v>
      </c>
      <c r="N36" s="307">
        <v>0</v>
      </c>
      <c r="O36" s="310">
        <v>0</v>
      </c>
      <c r="P36" s="306">
        <v>0</v>
      </c>
      <c r="Q36" s="307">
        <v>0</v>
      </c>
      <c r="R36" s="308">
        <v>0</v>
      </c>
      <c r="S36" s="307">
        <v>0</v>
      </c>
      <c r="T36" s="310">
        <v>0</v>
      </c>
      <c r="U36" s="309">
        <v>0</v>
      </c>
      <c r="V36" s="307">
        <v>0</v>
      </c>
      <c r="W36" s="308">
        <v>0</v>
      </c>
      <c r="X36" s="307">
        <v>0</v>
      </c>
      <c r="Y36" s="308">
        <v>0</v>
      </c>
      <c r="Z36" s="306">
        <v>0</v>
      </c>
      <c r="AA36" s="307">
        <v>0</v>
      </c>
      <c r="AB36" s="308">
        <v>0</v>
      </c>
      <c r="AC36" s="307">
        <v>0</v>
      </c>
      <c r="AD36" s="308">
        <v>0</v>
      </c>
      <c r="AE36" s="306">
        <v>0</v>
      </c>
    </row>
    <row r="37" spans="2:31" ht="12.75">
      <c r="B37" s="305"/>
      <c r="C37" s="294"/>
      <c r="D37" s="294"/>
      <c r="E37" s="294" t="s">
        <v>635</v>
      </c>
      <c r="F37" s="306">
        <v>0</v>
      </c>
      <c r="G37" s="307">
        <v>0</v>
      </c>
      <c r="H37" s="308">
        <v>0</v>
      </c>
      <c r="I37" s="307">
        <v>0</v>
      </c>
      <c r="J37" s="310">
        <v>0</v>
      </c>
      <c r="K37" s="306">
        <v>0</v>
      </c>
      <c r="L37" s="307">
        <v>0</v>
      </c>
      <c r="M37" s="308">
        <v>0</v>
      </c>
      <c r="N37" s="307">
        <v>0</v>
      </c>
      <c r="O37" s="310">
        <v>0</v>
      </c>
      <c r="P37" s="306">
        <v>0</v>
      </c>
      <c r="Q37" s="307">
        <v>0</v>
      </c>
      <c r="R37" s="308">
        <v>0</v>
      </c>
      <c r="S37" s="307">
        <v>0</v>
      </c>
      <c r="T37" s="310">
        <v>0</v>
      </c>
      <c r="U37" s="309">
        <v>0</v>
      </c>
      <c r="V37" s="307">
        <v>0</v>
      </c>
      <c r="W37" s="308">
        <v>0</v>
      </c>
      <c r="X37" s="307">
        <v>0</v>
      </c>
      <c r="Y37" s="308">
        <v>0</v>
      </c>
      <c r="Z37" s="306">
        <v>0</v>
      </c>
      <c r="AA37" s="307">
        <v>0</v>
      </c>
      <c r="AB37" s="308">
        <v>0</v>
      </c>
      <c r="AC37" s="307">
        <v>0</v>
      </c>
      <c r="AD37" s="308">
        <v>0</v>
      </c>
      <c r="AE37" s="306">
        <v>0</v>
      </c>
    </row>
    <row r="38" spans="2:31" ht="12.75">
      <c r="B38" s="305"/>
      <c r="C38" s="294"/>
      <c r="D38" s="294"/>
      <c r="E38" s="294"/>
      <c r="F38" s="311"/>
      <c r="G38" s="312"/>
      <c r="H38" s="313"/>
      <c r="I38" s="312"/>
      <c r="J38" s="314"/>
      <c r="K38" s="311"/>
      <c r="L38" s="312"/>
      <c r="M38" s="313"/>
      <c r="N38" s="312"/>
      <c r="O38" s="314"/>
      <c r="P38" s="311"/>
      <c r="Q38" s="312"/>
      <c r="R38" s="313"/>
      <c r="S38" s="312"/>
      <c r="T38" s="314"/>
      <c r="U38" s="315"/>
      <c r="V38" s="312"/>
      <c r="W38" s="313"/>
      <c r="X38" s="312"/>
      <c r="Y38" s="313"/>
      <c r="Z38" s="311"/>
      <c r="AA38" s="312"/>
      <c r="AB38" s="313"/>
      <c r="AC38" s="312"/>
      <c r="AD38" s="313"/>
      <c r="AE38" s="311"/>
    </row>
    <row r="39" spans="2:31" ht="12.75">
      <c r="B39" s="305"/>
      <c r="C39" s="294"/>
      <c r="D39" s="299" t="s">
        <v>361</v>
      </c>
      <c r="E39" s="294"/>
      <c r="F39" s="311"/>
      <c r="G39" s="312"/>
      <c r="H39" s="313"/>
      <c r="I39" s="312"/>
      <c r="J39" s="314"/>
      <c r="K39" s="311"/>
      <c r="L39" s="312"/>
      <c r="M39" s="313"/>
      <c r="N39" s="312"/>
      <c r="O39" s="314"/>
      <c r="P39" s="311"/>
      <c r="Q39" s="312"/>
      <c r="R39" s="313"/>
      <c r="S39" s="312"/>
      <c r="T39" s="314"/>
      <c r="U39" s="315"/>
      <c r="V39" s="312"/>
      <c r="W39" s="313"/>
      <c r="X39" s="312"/>
      <c r="Y39" s="313"/>
      <c r="Z39" s="311"/>
      <c r="AA39" s="312"/>
      <c r="AB39" s="313"/>
      <c r="AC39" s="312"/>
      <c r="AD39" s="313"/>
      <c r="AE39" s="311"/>
    </row>
    <row r="40" spans="2:31" ht="12.75">
      <c r="B40" s="305"/>
      <c r="C40" s="294"/>
      <c r="D40" s="324"/>
      <c r="E40" s="294" t="s">
        <v>525</v>
      </c>
      <c r="F40" s="306">
        <v>163477</v>
      </c>
      <c r="G40" s="307">
        <v>229</v>
      </c>
      <c r="H40" s="308">
        <v>225</v>
      </c>
      <c r="I40" s="307">
        <v>145</v>
      </c>
      <c r="J40" s="310">
        <v>225</v>
      </c>
      <c r="K40" s="306">
        <v>163393</v>
      </c>
      <c r="L40" s="307">
        <v>0</v>
      </c>
      <c r="M40" s="308">
        <v>233</v>
      </c>
      <c r="N40" s="307">
        <v>697</v>
      </c>
      <c r="O40" s="310">
        <v>506</v>
      </c>
      <c r="P40" s="306">
        <v>164363</v>
      </c>
      <c r="Q40" s="307">
        <v>2217</v>
      </c>
      <c r="R40" s="308">
        <v>1136</v>
      </c>
      <c r="S40" s="307">
        <v>647</v>
      </c>
      <c r="T40" s="310">
        <v>1136</v>
      </c>
      <c r="U40" s="309">
        <v>162793</v>
      </c>
      <c r="V40" s="307">
        <v>974</v>
      </c>
      <c r="W40" s="308">
        <v>1765</v>
      </c>
      <c r="X40" s="307">
        <v>525</v>
      </c>
      <c r="Y40" s="308">
        <v>1460</v>
      </c>
      <c r="Z40" s="306">
        <v>162039</v>
      </c>
      <c r="AA40" s="307">
        <v>1403</v>
      </c>
      <c r="AB40" s="308">
        <v>1533</v>
      </c>
      <c r="AC40" s="307">
        <v>509</v>
      </c>
      <c r="AD40" s="308">
        <v>1161</v>
      </c>
      <c r="AE40" s="306">
        <v>160773</v>
      </c>
    </row>
    <row r="41" spans="2:31" ht="12.75">
      <c r="B41" s="305"/>
      <c r="C41" s="294"/>
      <c r="D41" s="299"/>
      <c r="E41" s="294" t="s">
        <v>526</v>
      </c>
      <c r="F41" s="306">
        <v>0</v>
      </c>
      <c r="G41" s="307">
        <v>0</v>
      </c>
      <c r="H41" s="308">
        <v>0</v>
      </c>
      <c r="I41" s="307">
        <v>0</v>
      </c>
      <c r="J41" s="310">
        <v>0</v>
      </c>
      <c r="K41" s="306">
        <v>0</v>
      </c>
      <c r="L41" s="307">
        <v>0</v>
      </c>
      <c r="M41" s="308">
        <v>0</v>
      </c>
      <c r="N41" s="307">
        <v>0</v>
      </c>
      <c r="O41" s="310">
        <v>0</v>
      </c>
      <c r="P41" s="306">
        <v>0</v>
      </c>
      <c r="Q41" s="307">
        <v>0</v>
      </c>
      <c r="R41" s="308">
        <v>0</v>
      </c>
      <c r="S41" s="307">
        <v>0</v>
      </c>
      <c r="T41" s="310">
        <v>0</v>
      </c>
      <c r="U41" s="309">
        <v>0</v>
      </c>
      <c r="V41" s="307">
        <v>0</v>
      </c>
      <c r="W41" s="308">
        <v>0</v>
      </c>
      <c r="X41" s="307">
        <v>0</v>
      </c>
      <c r="Y41" s="308">
        <v>0</v>
      </c>
      <c r="Z41" s="306">
        <v>0</v>
      </c>
      <c r="AA41" s="307">
        <v>0</v>
      </c>
      <c r="AB41" s="308">
        <v>0</v>
      </c>
      <c r="AC41" s="307">
        <v>0</v>
      </c>
      <c r="AD41" s="308">
        <v>0</v>
      </c>
      <c r="AE41" s="306">
        <v>0</v>
      </c>
    </row>
    <row r="42" spans="2:31" ht="12.75">
      <c r="B42" s="305"/>
      <c r="C42" s="294"/>
      <c r="D42" s="294"/>
      <c r="E42" s="294"/>
      <c r="F42" s="311"/>
      <c r="G42" s="312"/>
      <c r="H42" s="313"/>
      <c r="I42" s="312"/>
      <c r="J42" s="314"/>
      <c r="K42" s="311"/>
      <c r="L42" s="312"/>
      <c r="M42" s="313"/>
      <c r="N42" s="312"/>
      <c r="O42" s="314"/>
      <c r="P42" s="311"/>
      <c r="Q42" s="312"/>
      <c r="R42" s="313"/>
      <c r="S42" s="312"/>
      <c r="T42" s="314"/>
      <c r="U42" s="315"/>
      <c r="V42" s="312"/>
      <c r="W42" s="313"/>
      <c r="X42" s="312"/>
      <c r="Y42" s="313"/>
      <c r="Z42" s="311"/>
      <c r="AA42" s="312"/>
      <c r="AB42" s="313"/>
      <c r="AC42" s="312"/>
      <c r="AD42" s="313"/>
      <c r="AE42" s="311"/>
    </row>
    <row r="43" spans="2:31" ht="12.75">
      <c r="B43" s="305"/>
      <c r="C43" s="294"/>
      <c r="D43" s="299" t="s">
        <v>390</v>
      </c>
      <c r="E43" s="294"/>
      <c r="F43" s="311"/>
      <c r="G43" s="312"/>
      <c r="H43" s="313"/>
      <c r="I43" s="312"/>
      <c r="J43" s="314"/>
      <c r="K43" s="311"/>
      <c r="L43" s="312"/>
      <c r="M43" s="313"/>
      <c r="N43" s="312"/>
      <c r="O43" s="314"/>
      <c r="P43" s="311"/>
      <c r="Q43" s="312"/>
      <c r="R43" s="313"/>
      <c r="S43" s="312"/>
      <c r="T43" s="314"/>
      <c r="U43" s="315"/>
      <c r="V43" s="312"/>
      <c r="W43" s="313"/>
      <c r="X43" s="312"/>
      <c r="Y43" s="313"/>
      <c r="Z43" s="311"/>
      <c r="AA43" s="312"/>
      <c r="AB43" s="313"/>
      <c r="AC43" s="312"/>
      <c r="AD43" s="313"/>
      <c r="AE43" s="311"/>
    </row>
    <row r="44" spans="2:31" ht="12.75">
      <c r="B44" s="305"/>
      <c r="C44" s="294"/>
      <c r="D44" s="299"/>
      <c r="E44" s="294" t="s">
        <v>391</v>
      </c>
      <c r="F44" s="306">
        <v>12768</v>
      </c>
      <c r="G44" s="307">
        <v>0</v>
      </c>
      <c r="H44" s="308">
        <v>10</v>
      </c>
      <c r="I44" s="307">
        <v>122</v>
      </c>
      <c r="J44" s="310">
        <v>30</v>
      </c>
      <c r="K44" s="306">
        <v>12910</v>
      </c>
      <c r="L44" s="307">
        <v>1</v>
      </c>
      <c r="M44" s="308">
        <v>55</v>
      </c>
      <c r="N44" s="307">
        <v>184</v>
      </c>
      <c r="O44" s="310">
        <v>55</v>
      </c>
      <c r="P44" s="306">
        <v>13093</v>
      </c>
      <c r="Q44" s="307">
        <v>0</v>
      </c>
      <c r="R44" s="308">
        <v>10</v>
      </c>
      <c r="S44" s="307">
        <v>167</v>
      </c>
      <c r="T44" s="310">
        <v>38</v>
      </c>
      <c r="U44" s="309">
        <v>13288</v>
      </c>
      <c r="V44" s="307">
        <v>0</v>
      </c>
      <c r="W44" s="308">
        <v>10.8</v>
      </c>
      <c r="X44" s="307">
        <v>133</v>
      </c>
      <c r="Y44" s="308">
        <v>77.3</v>
      </c>
      <c r="Z44" s="306">
        <v>13487.5</v>
      </c>
      <c r="AA44" s="307">
        <v>0</v>
      </c>
      <c r="AB44" s="308">
        <v>14.7</v>
      </c>
      <c r="AC44" s="307">
        <v>124.7</v>
      </c>
      <c r="AD44" s="308">
        <v>76.4</v>
      </c>
      <c r="AE44" s="306">
        <v>13673.9</v>
      </c>
    </row>
    <row r="45" spans="2:31" ht="12.75">
      <c r="B45" s="305"/>
      <c r="C45" s="294"/>
      <c r="D45" s="299"/>
      <c r="E45" s="294" t="s">
        <v>392</v>
      </c>
      <c r="F45" s="306">
        <v>0</v>
      </c>
      <c r="G45" s="307">
        <v>0</v>
      </c>
      <c r="H45" s="308">
        <v>0</v>
      </c>
      <c r="I45" s="307">
        <v>0</v>
      </c>
      <c r="J45" s="310">
        <v>0</v>
      </c>
      <c r="K45" s="306">
        <v>0</v>
      </c>
      <c r="L45" s="307">
        <v>0</v>
      </c>
      <c r="M45" s="308">
        <v>0</v>
      </c>
      <c r="N45" s="307">
        <v>0</v>
      </c>
      <c r="O45" s="310">
        <v>0</v>
      </c>
      <c r="P45" s="306">
        <v>0</v>
      </c>
      <c r="Q45" s="307">
        <v>0</v>
      </c>
      <c r="R45" s="308">
        <v>0</v>
      </c>
      <c r="S45" s="307">
        <v>0</v>
      </c>
      <c r="T45" s="310">
        <v>0</v>
      </c>
      <c r="U45" s="309">
        <v>0</v>
      </c>
      <c r="V45" s="307">
        <v>0</v>
      </c>
      <c r="W45" s="308">
        <v>0</v>
      </c>
      <c r="X45" s="307">
        <v>0</v>
      </c>
      <c r="Y45" s="308">
        <v>0</v>
      </c>
      <c r="Z45" s="306">
        <v>0</v>
      </c>
      <c r="AA45" s="307">
        <v>0</v>
      </c>
      <c r="AB45" s="308">
        <v>0</v>
      </c>
      <c r="AC45" s="307">
        <v>0</v>
      </c>
      <c r="AD45" s="308">
        <v>0</v>
      </c>
      <c r="AE45" s="306">
        <v>0</v>
      </c>
    </row>
    <row r="46" spans="2:31" ht="12.75">
      <c r="B46" s="305"/>
      <c r="C46" s="294"/>
      <c r="D46" s="299"/>
      <c r="E46" s="294"/>
      <c r="F46" s="311"/>
      <c r="G46" s="312"/>
      <c r="H46" s="313"/>
      <c r="I46" s="312"/>
      <c r="J46" s="314"/>
      <c r="K46" s="311"/>
      <c r="L46" s="312"/>
      <c r="M46" s="313"/>
      <c r="N46" s="312"/>
      <c r="O46" s="314"/>
      <c r="P46" s="311"/>
      <c r="Q46" s="312"/>
      <c r="R46" s="313"/>
      <c r="S46" s="312"/>
      <c r="T46" s="314"/>
      <c r="U46" s="315"/>
      <c r="V46" s="312"/>
      <c r="W46" s="313"/>
      <c r="X46" s="312"/>
      <c r="Y46" s="313"/>
      <c r="Z46" s="311"/>
      <c r="AA46" s="312"/>
      <c r="AB46" s="313"/>
      <c r="AC46" s="312"/>
      <c r="AD46" s="313"/>
      <c r="AE46" s="311"/>
    </row>
    <row r="47" spans="2:31" ht="12.75">
      <c r="B47" s="305"/>
      <c r="C47" s="294"/>
      <c r="D47" s="299" t="s">
        <v>682</v>
      </c>
      <c r="E47" s="294"/>
      <c r="F47" s="311"/>
      <c r="G47" s="312"/>
      <c r="H47" s="313"/>
      <c r="I47" s="312"/>
      <c r="J47" s="314"/>
      <c r="K47" s="311"/>
      <c r="L47" s="312"/>
      <c r="M47" s="313"/>
      <c r="N47" s="312"/>
      <c r="O47" s="314"/>
      <c r="P47" s="311"/>
      <c r="Q47" s="312"/>
      <c r="R47" s="313"/>
      <c r="S47" s="312"/>
      <c r="T47" s="314"/>
      <c r="U47" s="315"/>
      <c r="V47" s="312"/>
      <c r="W47" s="313"/>
      <c r="X47" s="312"/>
      <c r="Y47" s="313"/>
      <c r="Z47" s="311"/>
      <c r="AA47" s="312"/>
      <c r="AB47" s="313"/>
      <c r="AC47" s="312"/>
      <c r="AD47" s="313"/>
      <c r="AE47" s="311"/>
    </row>
    <row r="48" spans="2:31" ht="12.75">
      <c r="B48" s="305"/>
      <c r="C48" s="294"/>
      <c r="D48" s="299"/>
      <c r="E48" s="294" t="s">
        <v>683</v>
      </c>
      <c r="F48" s="306">
        <v>0</v>
      </c>
      <c r="G48" s="307">
        <v>0</v>
      </c>
      <c r="H48" s="308">
        <v>0</v>
      </c>
      <c r="I48" s="307">
        <v>0</v>
      </c>
      <c r="J48" s="310">
        <v>0</v>
      </c>
      <c r="K48" s="306">
        <v>0</v>
      </c>
      <c r="L48" s="307">
        <v>0</v>
      </c>
      <c r="M48" s="308">
        <v>0</v>
      </c>
      <c r="N48" s="307">
        <v>0</v>
      </c>
      <c r="O48" s="310">
        <v>0</v>
      </c>
      <c r="P48" s="306">
        <v>0</v>
      </c>
      <c r="Q48" s="307">
        <v>0</v>
      </c>
      <c r="R48" s="308">
        <v>0</v>
      </c>
      <c r="S48" s="307">
        <v>0</v>
      </c>
      <c r="T48" s="310">
        <v>0</v>
      </c>
      <c r="U48" s="309">
        <v>0</v>
      </c>
      <c r="V48" s="307" t="s">
        <v>947</v>
      </c>
      <c r="W48" s="308">
        <v>0</v>
      </c>
      <c r="X48" s="307" t="s">
        <v>947</v>
      </c>
      <c r="Y48" s="308">
        <v>0</v>
      </c>
      <c r="Z48" s="306">
        <v>0</v>
      </c>
      <c r="AA48" s="307" t="s">
        <v>947</v>
      </c>
      <c r="AB48" s="308">
        <v>0</v>
      </c>
      <c r="AC48" s="307" t="s">
        <v>947</v>
      </c>
      <c r="AD48" s="308">
        <v>0</v>
      </c>
      <c r="AE48" s="306">
        <v>0</v>
      </c>
    </row>
    <row r="49" spans="2:31" ht="12.75">
      <c r="B49" s="305"/>
      <c r="C49" s="294"/>
      <c r="D49" s="299"/>
      <c r="E49" s="294"/>
      <c r="F49" s="311"/>
      <c r="G49" s="312"/>
      <c r="H49" s="313"/>
      <c r="I49" s="312"/>
      <c r="J49" s="314"/>
      <c r="K49" s="311"/>
      <c r="L49" s="312"/>
      <c r="M49" s="313"/>
      <c r="N49" s="312"/>
      <c r="O49" s="314"/>
      <c r="P49" s="311"/>
      <c r="Q49" s="312"/>
      <c r="R49" s="313"/>
      <c r="S49" s="312"/>
      <c r="T49" s="314"/>
      <c r="U49" s="315"/>
      <c r="V49" s="312"/>
      <c r="W49" s="313"/>
      <c r="X49" s="312"/>
      <c r="Y49" s="313"/>
      <c r="Z49" s="311"/>
      <c r="AA49" s="312"/>
      <c r="AB49" s="313"/>
      <c r="AC49" s="312"/>
      <c r="AD49" s="313"/>
      <c r="AE49" s="311"/>
    </row>
    <row r="50" spans="2:31" ht="12.75">
      <c r="B50" s="305"/>
      <c r="C50" s="294"/>
      <c r="D50" s="299" t="s">
        <v>216</v>
      </c>
      <c r="E50" s="294"/>
      <c r="F50" s="311"/>
      <c r="G50" s="312"/>
      <c r="H50" s="313"/>
      <c r="I50" s="312"/>
      <c r="J50" s="314"/>
      <c r="K50" s="311"/>
      <c r="L50" s="312"/>
      <c r="M50" s="313"/>
      <c r="N50" s="312"/>
      <c r="O50" s="314"/>
      <c r="P50" s="311"/>
      <c r="Q50" s="312"/>
      <c r="R50" s="313"/>
      <c r="S50" s="312"/>
      <c r="T50" s="314"/>
      <c r="U50" s="315"/>
      <c r="V50" s="312"/>
      <c r="W50" s="313"/>
      <c r="X50" s="312"/>
      <c r="Y50" s="313"/>
      <c r="Z50" s="311"/>
      <c r="AA50" s="312"/>
      <c r="AB50" s="313"/>
      <c r="AC50" s="312"/>
      <c r="AD50" s="313"/>
      <c r="AE50" s="311"/>
    </row>
    <row r="51" spans="2:31" ht="12.75">
      <c r="B51" s="305"/>
      <c r="C51" s="294"/>
      <c r="D51" s="299"/>
      <c r="E51" s="294" t="s">
        <v>684</v>
      </c>
      <c r="F51" s="306">
        <v>1148</v>
      </c>
      <c r="G51" s="307">
        <v>0</v>
      </c>
      <c r="H51" s="308">
        <v>63</v>
      </c>
      <c r="I51" s="307">
        <v>0</v>
      </c>
      <c r="J51" s="310">
        <v>23</v>
      </c>
      <c r="K51" s="306">
        <v>1108</v>
      </c>
      <c r="L51" s="307">
        <v>0</v>
      </c>
      <c r="M51" s="308">
        <v>25</v>
      </c>
      <c r="N51" s="307">
        <v>0</v>
      </c>
      <c r="O51" s="310">
        <v>24</v>
      </c>
      <c r="P51" s="306">
        <v>1107</v>
      </c>
      <c r="Q51" s="307">
        <v>0</v>
      </c>
      <c r="R51" s="308">
        <v>66</v>
      </c>
      <c r="S51" s="307">
        <v>0</v>
      </c>
      <c r="T51" s="310">
        <v>56</v>
      </c>
      <c r="U51" s="309">
        <v>1097</v>
      </c>
      <c r="V51" s="307">
        <v>0</v>
      </c>
      <c r="W51" s="308">
        <v>0</v>
      </c>
      <c r="X51" s="307">
        <v>0</v>
      </c>
      <c r="Y51" s="308">
        <v>27</v>
      </c>
      <c r="Z51" s="306">
        <v>1124</v>
      </c>
      <c r="AA51" s="307">
        <v>0</v>
      </c>
      <c r="AB51" s="308">
        <v>0</v>
      </c>
      <c r="AC51" s="307">
        <v>0</v>
      </c>
      <c r="AD51" s="308">
        <v>103</v>
      </c>
      <c r="AE51" s="306">
        <v>1227</v>
      </c>
    </row>
    <row r="52" spans="2:31" ht="12.75">
      <c r="B52" s="305"/>
      <c r="C52" s="294"/>
      <c r="D52" s="299"/>
      <c r="E52" s="294" t="s">
        <v>897</v>
      </c>
      <c r="F52" s="306">
        <v>7882</v>
      </c>
      <c r="G52" s="307">
        <v>0</v>
      </c>
      <c r="H52" s="308">
        <v>18</v>
      </c>
      <c r="I52" s="307">
        <v>73</v>
      </c>
      <c r="J52" s="310">
        <v>15</v>
      </c>
      <c r="K52" s="306">
        <v>7952</v>
      </c>
      <c r="L52" s="307">
        <v>0</v>
      </c>
      <c r="M52" s="308">
        <v>321</v>
      </c>
      <c r="N52" s="307">
        <v>35</v>
      </c>
      <c r="O52" s="310">
        <v>37</v>
      </c>
      <c r="P52" s="306">
        <v>7703</v>
      </c>
      <c r="Q52" s="307">
        <v>0</v>
      </c>
      <c r="R52" s="308">
        <v>344</v>
      </c>
      <c r="S52" s="307">
        <v>169</v>
      </c>
      <c r="T52" s="310">
        <v>32</v>
      </c>
      <c r="U52" s="309">
        <v>7560</v>
      </c>
      <c r="V52" s="307">
        <v>0</v>
      </c>
      <c r="W52" s="308">
        <v>8</v>
      </c>
      <c r="X52" s="307">
        <v>135</v>
      </c>
      <c r="Y52" s="308">
        <v>36</v>
      </c>
      <c r="Z52" s="306">
        <v>7723</v>
      </c>
      <c r="AA52" s="307">
        <v>0</v>
      </c>
      <c r="AB52" s="308">
        <v>23</v>
      </c>
      <c r="AC52" s="307">
        <v>128</v>
      </c>
      <c r="AD52" s="308">
        <v>40</v>
      </c>
      <c r="AE52" s="306">
        <v>7868</v>
      </c>
    </row>
    <row r="53" spans="2:31" ht="12.75">
      <c r="B53" s="305"/>
      <c r="C53" s="294"/>
      <c r="D53" s="299"/>
      <c r="E53" s="294" t="s">
        <v>898</v>
      </c>
      <c r="F53" s="306">
        <v>195</v>
      </c>
      <c r="G53" s="307">
        <v>0</v>
      </c>
      <c r="H53" s="308">
        <v>0</v>
      </c>
      <c r="I53" s="307">
        <v>0</v>
      </c>
      <c r="J53" s="310">
        <v>41</v>
      </c>
      <c r="K53" s="306">
        <v>236</v>
      </c>
      <c r="L53" s="307">
        <v>0</v>
      </c>
      <c r="M53" s="308">
        <v>6</v>
      </c>
      <c r="N53" s="307">
        <v>0</v>
      </c>
      <c r="O53" s="310">
        <v>28</v>
      </c>
      <c r="P53" s="306">
        <v>258</v>
      </c>
      <c r="Q53" s="307">
        <v>0</v>
      </c>
      <c r="R53" s="308">
        <v>0</v>
      </c>
      <c r="S53" s="307">
        <v>0</v>
      </c>
      <c r="T53" s="310">
        <v>36</v>
      </c>
      <c r="U53" s="309">
        <v>294</v>
      </c>
      <c r="V53" s="307">
        <v>0</v>
      </c>
      <c r="W53" s="308">
        <v>387</v>
      </c>
      <c r="X53" s="307">
        <v>0</v>
      </c>
      <c r="Y53" s="308">
        <v>418</v>
      </c>
      <c r="Z53" s="306">
        <v>325</v>
      </c>
      <c r="AA53" s="307">
        <v>0</v>
      </c>
      <c r="AB53" s="308">
        <v>72</v>
      </c>
      <c r="AC53" s="307">
        <v>0</v>
      </c>
      <c r="AD53" s="308">
        <v>134</v>
      </c>
      <c r="AE53" s="306">
        <v>387</v>
      </c>
    </row>
    <row r="54" spans="2:31" ht="12.75">
      <c r="B54" s="305"/>
      <c r="C54" s="294"/>
      <c r="D54" s="299"/>
      <c r="E54" s="294" t="s">
        <v>899</v>
      </c>
      <c r="F54" s="306">
        <v>11859</v>
      </c>
      <c r="G54" s="307">
        <v>0</v>
      </c>
      <c r="H54" s="308">
        <v>162</v>
      </c>
      <c r="I54" s="307">
        <v>47</v>
      </c>
      <c r="J54" s="310">
        <v>53</v>
      </c>
      <c r="K54" s="306">
        <v>11797</v>
      </c>
      <c r="L54" s="307">
        <v>0</v>
      </c>
      <c r="M54" s="308">
        <v>355</v>
      </c>
      <c r="N54" s="307">
        <v>4</v>
      </c>
      <c r="O54" s="310">
        <v>1</v>
      </c>
      <c r="P54" s="306">
        <v>11447</v>
      </c>
      <c r="Q54" s="307">
        <v>0</v>
      </c>
      <c r="R54" s="308">
        <v>410</v>
      </c>
      <c r="S54" s="307">
        <v>32</v>
      </c>
      <c r="T54" s="310">
        <v>0</v>
      </c>
      <c r="U54" s="309">
        <v>11069</v>
      </c>
      <c r="V54" s="307">
        <v>0</v>
      </c>
      <c r="W54" s="308">
        <v>236</v>
      </c>
      <c r="X54" s="307">
        <v>25</v>
      </c>
      <c r="Y54" s="308">
        <v>1</v>
      </c>
      <c r="Z54" s="306">
        <v>10859</v>
      </c>
      <c r="AA54" s="307">
        <v>0</v>
      </c>
      <c r="AB54" s="308">
        <v>276</v>
      </c>
      <c r="AC54" s="307">
        <v>23</v>
      </c>
      <c r="AD54" s="308">
        <v>2</v>
      </c>
      <c r="AE54" s="306">
        <v>10608</v>
      </c>
    </row>
    <row r="55" spans="2:31" ht="12.75">
      <c r="B55" s="305"/>
      <c r="C55" s="294"/>
      <c r="D55" s="299"/>
      <c r="E55" s="294" t="s">
        <v>415</v>
      </c>
      <c r="F55" s="306">
        <v>14442</v>
      </c>
      <c r="G55" s="307">
        <v>0</v>
      </c>
      <c r="H55" s="308">
        <v>13</v>
      </c>
      <c r="I55" s="307">
        <v>297</v>
      </c>
      <c r="J55" s="310">
        <v>47</v>
      </c>
      <c r="K55" s="306">
        <v>14773</v>
      </c>
      <c r="L55" s="307">
        <v>0</v>
      </c>
      <c r="M55" s="308">
        <v>94</v>
      </c>
      <c r="N55" s="307">
        <v>518</v>
      </c>
      <c r="O55" s="310">
        <v>269</v>
      </c>
      <c r="P55" s="306">
        <v>15466</v>
      </c>
      <c r="Q55" s="307">
        <v>4</v>
      </c>
      <c r="R55" s="308">
        <v>243</v>
      </c>
      <c r="S55" s="307">
        <v>552</v>
      </c>
      <c r="T55" s="310">
        <v>243</v>
      </c>
      <c r="U55" s="309">
        <v>16014</v>
      </c>
      <c r="V55" s="307">
        <v>2</v>
      </c>
      <c r="W55" s="308">
        <v>65</v>
      </c>
      <c r="X55" s="307">
        <v>445</v>
      </c>
      <c r="Y55" s="308">
        <v>274</v>
      </c>
      <c r="Z55" s="306">
        <v>16666</v>
      </c>
      <c r="AA55" s="307">
        <v>3</v>
      </c>
      <c r="AB55" s="308">
        <v>94</v>
      </c>
      <c r="AC55" s="307">
        <v>428</v>
      </c>
      <c r="AD55" s="308">
        <v>330</v>
      </c>
      <c r="AE55" s="306">
        <v>17327</v>
      </c>
    </row>
    <row r="56" spans="2:31" ht="12.75">
      <c r="B56" s="305"/>
      <c r="C56" s="294"/>
      <c r="D56" s="299"/>
      <c r="E56" s="294" t="s">
        <v>549</v>
      </c>
      <c r="F56" s="306">
        <v>10690</v>
      </c>
      <c r="G56" s="307">
        <v>0</v>
      </c>
      <c r="H56" s="308">
        <v>1352</v>
      </c>
      <c r="I56" s="307">
        <v>3</v>
      </c>
      <c r="J56" s="310">
        <v>1405</v>
      </c>
      <c r="K56" s="306">
        <v>10746</v>
      </c>
      <c r="L56" s="307">
        <v>0</v>
      </c>
      <c r="M56" s="308">
        <v>134</v>
      </c>
      <c r="N56" s="307">
        <v>12</v>
      </c>
      <c r="O56" s="310">
        <v>388</v>
      </c>
      <c r="P56" s="306">
        <v>11012</v>
      </c>
      <c r="Q56" s="307">
        <v>0</v>
      </c>
      <c r="R56" s="308">
        <v>150</v>
      </c>
      <c r="S56" s="307">
        <v>192</v>
      </c>
      <c r="T56" s="310">
        <v>352</v>
      </c>
      <c r="U56" s="309">
        <v>11406</v>
      </c>
      <c r="V56" s="307">
        <v>0</v>
      </c>
      <c r="W56" s="308">
        <v>0</v>
      </c>
      <c r="X56" s="307">
        <v>168</v>
      </c>
      <c r="Y56" s="308">
        <v>0</v>
      </c>
      <c r="Z56" s="306">
        <v>11574</v>
      </c>
      <c r="AA56" s="307">
        <v>0</v>
      </c>
      <c r="AB56" s="308">
        <v>0</v>
      </c>
      <c r="AC56" s="307">
        <v>183</v>
      </c>
      <c r="AD56" s="308">
        <v>0</v>
      </c>
      <c r="AE56" s="306">
        <v>11757</v>
      </c>
    </row>
    <row r="57" spans="2:31" ht="12.75">
      <c r="B57" s="305"/>
      <c r="C57" s="294"/>
      <c r="D57" s="299"/>
      <c r="E57" s="294" t="s">
        <v>686</v>
      </c>
      <c r="F57" s="306">
        <v>0</v>
      </c>
      <c r="G57" s="307">
        <v>0</v>
      </c>
      <c r="H57" s="308">
        <v>0</v>
      </c>
      <c r="I57" s="307">
        <v>0</v>
      </c>
      <c r="J57" s="310">
        <v>0</v>
      </c>
      <c r="K57" s="306">
        <v>0</v>
      </c>
      <c r="L57" s="307">
        <v>0</v>
      </c>
      <c r="M57" s="308">
        <v>0</v>
      </c>
      <c r="N57" s="307">
        <v>0</v>
      </c>
      <c r="O57" s="310">
        <v>0</v>
      </c>
      <c r="P57" s="306">
        <v>0</v>
      </c>
      <c r="Q57" s="307">
        <v>0</v>
      </c>
      <c r="R57" s="308">
        <v>0</v>
      </c>
      <c r="S57" s="307">
        <v>0</v>
      </c>
      <c r="T57" s="310">
        <v>0</v>
      </c>
      <c r="U57" s="309">
        <v>0</v>
      </c>
      <c r="V57" s="307">
        <v>0</v>
      </c>
      <c r="W57" s="308">
        <v>0</v>
      </c>
      <c r="X57" s="307">
        <v>0</v>
      </c>
      <c r="Y57" s="308">
        <v>0</v>
      </c>
      <c r="Z57" s="306">
        <v>0</v>
      </c>
      <c r="AA57" s="307">
        <v>0</v>
      </c>
      <c r="AB57" s="308">
        <v>0</v>
      </c>
      <c r="AC57" s="307">
        <v>0</v>
      </c>
      <c r="AD57" s="308">
        <v>0</v>
      </c>
      <c r="AE57" s="306">
        <v>0</v>
      </c>
    </row>
    <row r="58" spans="2:31" ht="12.75">
      <c r="B58" s="305"/>
      <c r="C58" s="294"/>
      <c r="D58" s="294"/>
      <c r="E58" s="294" t="s">
        <v>395</v>
      </c>
      <c r="F58" s="306">
        <v>0</v>
      </c>
      <c r="G58" s="307">
        <v>0</v>
      </c>
      <c r="H58" s="308">
        <v>0</v>
      </c>
      <c r="I58" s="307">
        <v>0</v>
      </c>
      <c r="J58" s="310">
        <v>0</v>
      </c>
      <c r="K58" s="306">
        <v>0</v>
      </c>
      <c r="L58" s="307">
        <v>0</v>
      </c>
      <c r="M58" s="308">
        <v>0</v>
      </c>
      <c r="N58" s="307">
        <v>0</v>
      </c>
      <c r="O58" s="310">
        <v>0</v>
      </c>
      <c r="P58" s="306">
        <v>0</v>
      </c>
      <c r="Q58" s="307">
        <v>0</v>
      </c>
      <c r="R58" s="308">
        <v>0</v>
      </c>
      <c r="S58" s="307">
        <v>0</v>
      </c>
      <c r="T58" s="310">
        <v>0</v>
      </c>
      <c r="U58" s="309">
        <v>0</v>
      </c>
      <c r="V58" s="307">
        <v>0</v>
      </c>
      <c r="W58" s="308">
        <v>0</v>
      </c>
      <c r="X58" s="307">
        <v>0</v>
      </c>
      <c r="Y58" s="308">
        <v>0</v>
      </c>
      <c r="Z58" s="306">
        <v>0</v>
      </c>
      <c r="AA58" s="307">
        <v>0</v>
      </c>
      <c r="AB58" s="308">
        <v>0</v>
      </c>
      <c r="AC58" s="307">
        <v>0</v>
      </c>
      <c r="AD58" s="308">
        <v>0</v>
      </c>
      <c r="AE58" s="306">
        <v>0</v>
      </c>
    </row>
    <row r="59" spans="2:31" ht="12.75">
      <c r="B59" s="305"/>
      <c r="C59" s="294"/>
      <c r="D59" s="294"/>
      <c r="E59" s="294" t="s">
        <v>643</v>
      </c>
      <c r="F59" s="306">
        <v>0</v>
      </c>
      <c r="G59" s="307">
        <v>0</v>
      </c>
      <c r="H59" s="308">
        <v>0</v>
      </c>
      <c r="I59" s="307">
        <v>0</v>
      </c>
      <c r="J59" s="310">
        <v>0</v>
      </c>
      <c r="K59" s="306">
        <v>0</v>
      </c>
      <c r="L59" s="307">
        <v>0</v>
      </c>
      <c r="M59" s="308">
        <v>0</v>
      </c>
      <c r="N59" s="307">
        <v>0</v>
      </c>
      <c r="O59" s="310">
        <v>0</v>
      </c>
      <c r="P59" s="306">
        <v>0</v>
      </c>
      <c r="Q59" s="307">
        <v>0</v>
      </c>
      <c r="R59" s="308">
        <v>0</v>
      </c>
      <c r="S59" s="307">
        <v>0</v>
      </c>
      <c r="T59" s="310">
        <v>0</v>
      </c>
      <c r="U59" s="309">
        <v>0</v>
      </c>
      <c r="V59" s="307">
        <v>0</v>
      </c>
      <c r="W59" s="308">
        <v>0</v>
      </c>
      <c r="X59" s="307">
        <v>0</v>
      </c>
      <c r="Y59" s="308">
        <v>0</v>
      </c>
      <c r="Z59" s="306">
        <v>0</v>
      </c>
      <c r="AA59" s="307">
        <v>0</v>
      </c>
      <c r="AB59" s="308">
        <v>0</v>
      </c>
      <c r="AC59" s="307">
        <v>0</v>
      </c>
      <c r="AD59" s="308">
        <v>0</v>
      </c>
      <c r="AE59" s="306">
        <v>0</v>
      </c>
    </row>
    <row r="60" spans="2:31" ht="12.75">
      <c r="B60" s="305"/>
      <c r="C60" s="294"/>
      <c r="D60" s="299"/>
      <c r="E60" s="294" t="s">
        <v>644</v>
      </c>
      <c r="F60" s="306">
        <v>0</v>
      </c>
      <c r="G60" s="307">
        <v>0</v>
      </c>
      <c r="H60" s="308">
        <v>0</v>
      </c>
      <c r="I60" s="307">
        <v>0</v>
      </c>
      <c r="J60" s="310">
        <v>0</v>
      </c>
      <c r="K60" s="306">
        <v>0</v>
      </c>
      <c r="L60" s="307">
        <v>0</v>
      </c>
      <c r="M60" s="308">
        <v>0</v>
      </c>
      <c r="N60" s="307">
        <v>0</v>
      </c>
      <c r="O60" s="310">
        <v>0</v>
      </c>
      <c r="P60" s="306">
        <v>0</v>
      </c>
      <c r="Q60" s="307">
        <v>0</v>
      </c>
      <c r="R60" s="308">
        <v>0</v>
      </c>
      <c r="S60" s="307">
        <v>0</v>
      </c>
      <c r="T60" s="310">
        <v>0</v>
      </c>
      <c r="U60" s="309">
        <v>0</v>
      </c>
      <c r="V60" s="307">
        <v>0</v>
      </c>
      <c r="W60" s="308">
        <v>0</v>
      </c>
      <c r="X60" s="307">
        <v>0</v>
      </c>
      <c r="Y60" s="308">
        <v>0</v>
      </c>
      <c r="Z60" s="306">
        <v>0</v>
      </c>
      <c r="AA60" s="307">
        <v>0</v>
      </c>
      <c r="AB60" s="308">
        <v>0</v>
      </c>
      <c r="AC60" s="307">
        <v>0</v>
      </c>
      <c r="AD60" s="308">
        <v>0</v>
      </c>
      <c r="AE60" s="306">
        <v>0</v>
      </c>
    </row>
    <row r="61" spans="2:31" ht="12.75">
      <c r="B61" s="305"/>
      <c r="C61" s="294"/>
      <c r="D61" s="299"/>
      <c r="E61" s="294" t="s">
        <v>645</v>
      </c>
      <c r="F61" s="306">
        <v>0</v>
      </c>
      <c r="G61" s="307">
        <v>0</v>
      </c>
      <c r="H61" s="308">
        <v>0</v>
      </c>
      <c r="I61" s="307">
        <v>0</v>
      </c>
      <c r="J61" s="310">
        <v>0</v>
      </c>
      <c r="K61" s="306">
        <v>0</v>
      </c>
      <c r="L61" s="307">
        <v>0</v>
      </c>
      <c r="M61" s="308">
        <v>0</v>
      </c>
      <c r="N61" s="307">
        <v>0</v>
      </c>
      <c r="O61" s="310">
        <v>0</v>
      </c>
      <c r="P61" s="306">
        <v>0</v>
      </c>
      <c r="Q61" s="307">
        <v>0</v>
      </c>
      <c r="R61" s="308">
        <v>0</v>
      </c>
      <c r="S61" s="307">
        <v>0</v>
      </c>
      <c r="T61" s="310">
        <v>0</v>
      </c>
      <c r="U61" s="309">
        <v>0</v>
      </c>
      <c r="V61" s="307">
        <v>0</v>
      </c>
      <c r="W61" s="308">
        <v>0</v>
      </c>
      <c r="X61" s="307">
        <v>0</v>
      </c>
      <c r="Y61" s="308">
        <v>0</v>
      </c>
      <c r="Z61" s="306">
        <v>0</v>
      </c>
      <c r="AA61" s="307">
        <v>0</v>
      </c>
      <c r="AB61" s="308">
        <v>0</v>
      </c>
      <c r="AC61" s="307">
        <v>0</v>
      </c>
      <c r="AD61" s="308">
        <v>0</v>
      </c>
      <c r="AE61" s="306">
        <v>0</v>
      </c>
    </row>
    <row r="62" spans="2:31" ht="12.75">
      <c r="B62" s="305"/>
      <c r="C62" s="294"/>
      <c r="D62" s="299"/>
      <c r="E62" s="294" t="s">
        <v>509</v>
      </c>
      <c r="F62" s="306">
        <v>0</v>
      </c>
      <c r="G62" s="307">
        <v>0</v>
      </c>
      <c r="H62" s="308">
        <v>0</v>
      </c>
      <c r="I62" s="307">
        <v>0</v>
      </c>
      <c r="J62" s="310">
        <v>0</v>
      </c>
      <c r="K62" s="306">
        <v>0</v>
      </c>
      <c r="L62" s="307">
        <v>0</v>
      </c>
      <c r="M62" s="308">
        <v>0</v>
      </c>
      <c r="N62" s="307">
        <v>0</v>
      </c>
      <c r="O62" s="310">
        <v>0</v>
      </c>
      <c r="P62" s="306">
        <v>0</v>
      </c>
      <c r="Q62" s="307">
        <v>0</v>
      </c>
      <c r="R62" s="308">
        <v>0</v>
      </c>
      <c r="S62" s="307">
        <v>0</v>
      </c>
      <c r="T62" s="310">
        <v>0</v>
      </c>
      <c r="U62" s="309">
        <v>0</v>
      </c>
      <c r="V62" s="307">
        <v>0</v>
      </c>
      <c r="W62" s="308">
        <v>0</v>
      </c>
      <c r="X62" s="307">
        <v>0</v>
      </c>
      <c r="Y62" s="308">
        <v>0</v>
      </c>
      <c r="Z62" s="306">
        <v>0</v>
      </c>
      <c r="AA62" s="307">
        <v>0</v>
      </c>
      <c r="AB62" s="308">
        <v>0</v>
      </c>
      <c r="AC62" s="307">
        <v>0</v>
      </c>
      <c r="AD62" s="308">
        <v>0</v>
      </c>
      <c r="AE62" s="306">
        <v>0</v>
      </c>
    </row>
    <row r="63" spans="2:31" ht="12.75">
      <c r="B63" s="305"/>
      <c r="C63" s="294"/>
      <c r="D63" s="299"/>
      <c r="E63" s="294" t="s">
        <v>398</v>
      </c>
      <c r="F63" s="306">
        <v>0</v>
      </c>
      <c r="G63" s="307">
        <v>0</v>
      </c>
      <c r="H63" s="308">
        <v>0</v>
      </c>
      <c r="I63" s="307">
        <v>0</v>
      </c>
      <c r="J63" s="310">
        <v>0</v>
      </c>
      <c r="K63" s="306">
        <v>0</v>
      </c>
      <c r="L63" s="307">
        <v>0</v>
      </c>
      <c r="M63" s="308">
        <v>0</v>
      </c>
      <c r="N63" s="307">
        <v>0</v>
      </c>
      <c r="O63" s="310">
        <v>0</v>
      </c>
      <c r="P63" s="306">
        <v>0</v>
      </c>
      <c r="Q63" s="307">
        <v>0</v>
      </c>
      <c r="R63" s="308">
        <v>0</v>
      </c>
      <c r="S63" s="307">
        <v>0</v>
      </c>
      <c r="T63" s="310">
        <v>0</v>
      </c>
      <c r="U63" s="309">
        <v>0</v>
      </c>
      <c r="V63" s="307">
        <v>0</v>
      </c>
      <c r="W63" s="308">
        <v>0</v>
      </c>
      <c r="X63" s="307">
        <v>0</v>
      </c>
      <c r="Y63" s="308">
        <v>0</v>
      </c>
      <c r="Z63" s="306">
        <v>0</v>
      </c>
      <c r="AA63" s="307">
        <v>0</v>
      </c>
      <c r="AB63" s="308">
        <v>0</v>
      </c>
      <c r="AC63" s="307">
        <v>0</v>
      </c>
      <c r="AD63" s="308">
        <v>0</v>
      </c>
      <c r="AE63" s="306">
        <v>0</v>
      </c>
    </row>
    <row r="64" spans="2:31" ht="12.75">
      <c r="B64" s="305"/>
      <c r="C64" s="294"/>
      <c r="D64" s="299"/>
      <c r="E64" s="294" t="s">
        <v>375</v>
      </c>
      <c r="F64" s="306">
        <v>0</v>
      </c>
      <c r="G64" s="307">
        <v>0</v>
      </c>
      <c r="H64" s="308">
        <v>0</v>
      </c>
      <c r="I64" s="307">
        <v>0</v>
      </c>
      <c r="J64" s="310">
        <v>0</v>
      </c>
      <c r="K64" s="306">
        <v>0</v>
      </c>
      <c r="L64" s="307">
        <v>0</v>
      </c>
      <c r="M64" s="308">
        <v>0</v>
      </c>
      <c r="N64" s="307">
        <v>0</v>
      </c>
      <c r="O64" s="310">
        <v>0</v>
      </c>
      <c r="P64" s="306">
        <v>0</v>
      </c>
      <c r="Q64" s="307">
        <v>0</v>
      </c>
      <c r="R64" s="308">
        <v>0</v>
      </c>
      <c r="S64" s="307">
        <v>0</v>
      </c>
      <c r="T64" s="310">
        <v>0</v>
      </c>
      <c r="U64" s="309">
        <v>0</v>
      </c>
      <c r="V64" s="307">
        <v>0</v>
      </c>
      <c r="W64" s="308">
        <v>0</v>
      </c>
      <c r="X64" s="307">
        <v>0</v>
      </c>
      <c r="Y64" s="308">
        <v>0</v>
      </c>
      <c r="Z64" s="306">
        <v>0</v>
      </c>
      <c r="AA64" s="307">
        <v>0</v>
      </c>
      <c r="AB64" s="308">
        <v>0</v>
      </c>
      <c r="AC64" s="307">
        <v>0</v>
      </c>
      <c r="AD64" s="308">
        <v>0</v>
      </c>
      <c r="AE64" s="306">
        <v>0</v>
      </c>
    </row>
    <row r="65" spans="2:31" ht="12.75">
      <c r="B65" s="305"/>
      <c r="C65" s="294"/>
      <c r="D65" s="299"/>
      <c r="E65" s="294"/>
      <c r="F65" s="311"/>
      <c r="G65" s="312"/>
      <c r="H65" s="313"/>
      <c r="I65" s="312"/>
      <c r="J65" s="314"/>
      <c r="K65" s="311"/>
      <c r="L65" s="312"/>
      <c r="M65" s="313"/>
      <c r="N65" s="312"/>
      <c r="O65" s="314"/>
      <c r="P65" s="311"/>
      <c r="Q65" s="312"/>
      <c r="R65" s="313"/>
      <c r="S65" s="312"/>
      <c r="T65" s="314"/>
      <c r="U65" s="315"/>
      <c r="V65" s="312"/>
      <c r="W65" s="313"/>
      <c r="X65" s="312"/>
      <c r="Y65" s="313"/>
      <c r="Z65" s="311"/>
      <c r="AA65" s="312"/>
      <c r="AB65" s="313"/>
      <c r="AC65" s="312"/>
      <c r="AD65" s="313"/>
      <c r="AE65" s="311"/>
    </row>
    <row r="66" spans="2:31" ht="12.75">
      <c r="B66" s="305"/>
      <c r="C66" s="294"/>
      <c r="D66" s="299" t="s">
        <v>376</v>
      </c>
      <c r="E66" s="294"/>
      <c r="F66" s="311"/>
      <c r="G66" s="312"/>
      <c r="H66" s="313"/>
      <c r="I66" s="312"/>
      <c r="J66" s="314"/>
      <c r="K66" s="311"/>
      <c r="L66" s="312"/>
      <c r="M66" s="313"/>
      <c r="N66" s="312"/>
      <c r="O66" s="314"/>
      <c r="P66" s="311"/>
      <c r="Q66" s="312"/>
      <c r="R66" s="313"/>
      <c r="S66" s="312"/>
      <c r="T66" s="314"/>
      <c r="U66" s="315"/>
      <c r="V66" s="312"/>
      <c r="W66" s="313"/>
      <c r="X66" s="312"/>
      <c r="Y66" s="313"/>
      <c r="Z66" s="311"/>
      <c r="AA66" s="312"/>
      <c r="AB66" s="313"/>
      <c r="AC66" s="312"/>
      <c r="AD66" s="313"/>
      <c r="AE66" s="311"/>
    </row>
    <row r="67" spans="2:31" ht="12.75">
      <c r="B67" s="305"/>
      <c r="C67" s="294"/>
      <c r="D67" s="299"/>
      <c r="E67" s="294" t="s">
        <v>228</v>
      </c>
      <c r="F67" s="306">
        <v>22676</v>
      </c>
      <c r="G67" s="307">
        <v>279</v>
      </c>
      <c r="H67" s="308">
        <v>54</v>
      </c>
      <c r="I67" s="307">
        <v>323</v>
      </c>
      <c r="J67" s="310">
        <v>54</v>
      </c>
      <c r="K67" s="306">
        <v>22720</v>
      </c>
      <c r="L67" s="307">
        <v>284</v>
      </c>
      <c r="M67" s="308">
        <v>149</v>
      </c>
      <c r="N67" s="307">
        <v>263</v>
      </c>
      <c r="O67" s="310">
        <v>149</v>
      </c>
      <c r="P67" s="306">
        <v>22699</v>
      </c>
      <c r="Q67" s="307">
        <v>356</v>
      </c>
      <c r="R67" s="308">
        <v>129</v>
      </c>
      <c r="S67" s="307">
        <v>352</v>
      </c>
      <c r="T67" s="310">
        <v>129</v>
      </c>
      <c r="U67" s="309">
        <v>22695</v>
      </c>
      <c r="V67" s="307">
        <v>156</v>
      </c>
      <c r="W67" s="308">
        <v>136</v>
      </c>
      <c r="X67" s="307">
        <v>280</v>
      </c>
      <c r="Y67" s="308">
        <v>139</v>
      </c>
      <c r="Z67" s="306">
        <v>22822</v>
      </c>
      <c r="AA67" s="307">
        <v>225</v>
      </c>
      <c r="AB67" s="308">
        <v>237</v>
      </c>
      <c r="AC67" s="307">
        <v>262</v>
      </c>
      <c r="AD67" s="308">
        <v>232</v>
      </c>
      <c r="AE67" s="306">
        <v>22854</v>
      </c>
    </row>
    <row r="68" spans="2:31" ht="12.75">
      <c r="B68" s="305"/>
      <c r="C68" s="294"/>
      <c r="D68" s="299"/>
      <c r="E68" s="294" t="s">
        <v>369</v>
      </c>
      <c r="F68" s="306">
        <v>17685</v>
      </c>
      <c r="G68" s="307">
        <v>0</v>
      </c>
      <c r="H68" s="308">
        <v>73</v>
      </c>
      <c r="I68" s="307">
        <v>392</v>
      </c>
      <c r="J68" s="310">
        <v>74</v>
      </c>
      <c r="K68" s="306">
        <v>18078</v>
      </c>
      <c r="L68" s="307">
        <v>0</v>
      </c>
      <c r="M68" s="308">
        <v>123</v>
      </c>
      <c r="N68" s="307">
        <v>357</v>
      </c>
      <c r="O68" s="310">
        <v>143</v>
      </c>
      <c r="P68" s="306">
        <v>18455</v>
      </c>
      <c r="Q68" s="307">
        <v>50</v>
      </c>
      <c r="R68" s="308">
        <v>199</v>
      </c>
      <c r="S68" s="307">
        <v>357</v>
      </c>
      <c r="T68" s="310">
        <v>199</v>
      </c>
      <c r="U68" s="309">
        <v>18762</v>
      </c>
      <c r="V68" s="307">
        <v>22</v>
      </c>
      <c r="W68" s="308">
        <v>75</v>
      </c>
      <c r="X68" s="307">
        <v>285</v>
      </c>
      <c r="Y68" s="308">
        <v>92</v>
      </c>
      <c r="Z68" s="306">
        <v>19042</v>
      </c>
      <c r="AA68" s="307">
        <v>32</v>
      </c>
      <c r="AB68" s="308">
        <v>102</v>
      </c>
      <c r="AC68" s="307">
        <v>269</v>
      </c>
      <c r="AD68" s="308">
        <v>131</v>
      </c>
      <c r="AE68" s="306">
        <v>19308</v>
      </c>
    </row>
    <row r="69" spans="2:31" ht="12.75">
      <c r="B69" s="305"/>
      <c r="C69" s="294"/>
      <c r="D69" s="299"/>
      <c r="E69" s="294" t="s">
        <v>370</v>
      </c>
      <c r="F69" s="306">
        <v>0</v>
      </c>
      <c r="G69" s="307">
        <v>0</v>
      </c>
      <c r="H69" s="308">
        <v>0</v>
      </c>
      <c r="I69" s="307">
        <v>0</v>
      </c>
      <c r="J69" s="310">
        <v>0</v>
      </c>
      <c r="K69" s="306">
        <v>0</v>
      </c>
      <c r="L69" s="307">
        <v>0</v>
      </c>
      <c r="M69" s="308">
        <v>0</v>
      </c>
      <c r="N69" s="307">
        <v>0</v>
      </c>
      <c r="O69" s="310">
        <v>0</v>
      </c>
      <c r="P69" s="306">
        <v>0</v>
      </c>
      <c r="Q69" s="307">
        <v>0</v>
      </c>
      <c r="R69" s="308">
        <v>0</v>
      </c>
      <c r="S69" s="307">
        <v>0</v>
      </c>
      <c r="T69" s="310">
        <v>0</v>
      </c>
      <c r="U69" s="309">
        <v>0</v>
      </c>
      <c r="V69" s="307">
        <v>0</v>
      </c>
      <c r="W69" s="308">
        <v>0</v>
      </c>
      <c r="X69" s="307">
        <v>0</v>
      </c>
      <c r="Y69" s="308">
        <v>0</v>
      </c>
      <c r="Z69" s="306">
        <v>0</v>
      </c>
      <c r="AA69" s="307">
        <v>0</v>
      </c>
      <c r="AB69" s="308">
        <v>0</v>
      </c>
      <c r="AC69" s="307">
        <v>0</v>
      </c>
      <c r="AD69" s="308">
        <v>0</v>
      </c>
      <c r="AE69" s="306">
        <v>0</v>
      </c>
    </row>
    <row r="70" spans="2:31" ht="12.75">
      <c r="B70" s="305"/>
      <c r="C70" s="294"/>
      <c r="D70" s="299"/>
      <c r="E70" s="294" t="s">
        <v>371</v>
      </c>
      <c r="F70" s="306">
        <v>0</v>
      </c>
      <c r="G70" s="307">
        <v>0</v>
      </c>
      <c r="H70" s="308">
        <v>0</v>
      </c>
      <c r="I70" s="307">
        <v>0</v>
      </c>
      <c r="J70" s="310">
        <v>0</v>
      </c>
      <c r="K70" s="306">
        <v>0</v>
      </c>
      <c r="L70" s="307">
        <v>0</v>
      </c>
      <c r="M70" s="308">
        <v>0</v>
      </c>
      <c r="N70" s="307">
        <v>0</v>
      </c>
      <c r="O70" s="310">
        <v>0</v>
      </c>
      <c r="P70" s="306">
        <v>0</v>
      </c>
      <c r="Q70" s="307">
        <v>0</v>
      </c>
      <c r="R70" s="308">
        <v>0</v>
      </c>
      <c r="S70" s="307">
        <v>0</v>
      </c>
      <c r="T70" s="310">
        <v>0</v>
      </c>
      <c r="U70" s="309">
        <v>0</v>
      </c>
      <c r="V70" s="307">
        <v>0</v>
      </c>
      <c r="W70" s="308">
        <v>0</v>
      </c>
      <c r="X70" s="307">
        <v>0</v>
      </c>
      <c r="Y70" s="308">
        <v>0</v>
      </c>
      <c r="Z70" s="306">
        <v>0</v>
      </c>
      <c r="AA70" s="307">
        <v>0</v>
      </c>
      <c r="AB70" s="308">
        <v>0</v>
      </c>
      <c r="AC70" s="307">
        <v>0</v>
      </c>
      <c r="AD70" s="308">
        <v>0</v>
      </c>
      <c r="AE70" s="306">
        <v>0</v>
      </c>
    </row>
    <row r="71" spans="2:31" ht="13.5" thickBot="1">
      <c r="B71" s="290"/>
      <c r="C71" s="291"/>
      <c r="D71" s="291"/>
      <c r="E71" s="291"/>
      <c r="F71" s="316"/>
      <c r="G71" s="317"/>
      <c r="H71" s="318"/>
      <c r="I71" s="317"/>
      <c r="J71" s="319"/>
      <c r="K71" s="320"/>
      <c r="L71" s="317"/>
      <c r="M71" s="318"/>
      <c r="N71" s="317"/>
      <c r="O71" s="319"/>
      <c r="P71" s="320"/>
      <c r="Q71" s="317"/>
      <c r="R71" s="318"/>
      <c r="S71" s="317"/>
      <c r="T71" s="319"/>
      <c r="U71" s="321"/>
      <c r="V71" s="317"/>
      <c r="W71" s="318"/>
      <c r="X71" s="317"/>
      <c r="Y71" s="318"/>
      <c r="Z71" s="320"/>
      <c r="AA71" s="317"/>
      <c r="AB71" s="318"/>
      <c r="AC71" s="317"/>
      <c r="AD71" s="318"/>
      <c r="AE71" s="320"/>
    </row>
    <row r="72" spans="2:31" ht="12.75">
      <c r="B72" s="322"/>
      <c r="C72" s="323" t="s">
        <v>235</v>
      </c>
      <c r="D72" s="323"/>
      <c r="E72" s="324"/>
      <c r="F72" s="325"/>
      <c r="G72" s="326"/>
      <c r="H72" s="327"/>
      <c r="I72" s="326"/>
      <c r="J72" s="328"/>
      <c r="K72" s="325"/>
      <c r="L72" s="326"/>
      <c r="M72" s="327"/>
      <c r="N72" s="326"/>
      <c r="O72" s="328"/>
      <c r="P72" s="325"/>
      <c r="Q72" s="326"/>
      <c r="R72" s="327"/>
      <c r="S72" s="326"/>
      <c r="T72" s="328"/>
      <c r="U72" s="329"/>
      <c r="V72" s="326"/>
      <c r="W72" s="327"/>
      <c r="X72" s="326"/>
      <c r="Y72" s="327"/>
      <c r="Z72" s="325"/>
      <c r="AA72" s="326"/>
      <c r="AB72" s="327"/>
      <c r="AC72" s="326"/>
      <c r="AD72" s="327"/>
      <c r="AE72" s="325"/>
    </row>
    <row r="73" spans="2:31" ht="12.75">
      <c r="B73" s="305"/>
      <c r="C73" s="294"/>
      <c r="D73" s="299" t="s">
        <v>272</v>
      </c>
      <c r="E73" s="294"/>
      <c r="F73" s="311"/>
      <c r="G73" s="312"/>
      <c r="H73" s="313"/>
      <c r="I73" s="312"/>
      <c r="J73" s="314"/>
      <c r="K73" s="311"/>
      <c r="L73" s="312"/>
      <c r="M73" s="313"/>
      <c r="N73" s="312"/>
      <c r="O73" s="314"/>
      <c r="P73" s="311"/>
      <c r="Q73" s="312"/>
      <c r="R73" s="313"/>
      <c r="S73" s="312"/>
      <c r="T73" s="314"/>
      <c r="U73" s="315"/>
      <c r="V73" s="312"/>
      <c r="W73" s="313"/>
      <c r="X73" s="312"/>
      <c r="Y73" s="313"/>
      <c r="Z73" s="311"/>
      <c r="AA73" s="312"/>
      <c r="AB73" s="313"/>
      <c r="AC73" s="312"/>
      <c r="AD73" s="313"/>
      <c r="AE73" s="311"/>
    </row>
    <row r="74" spans="2:31" ht="12.75">
      <c r="B74" s="305"/>
      <c r="C74" s="294"/>
      <c r="D74" s="294"/>
      <c r="E74" s="294" t="s">
        <v>236</v>
      </c>
      <c r="F74" s="306">
        <v>1806</v>
      </c>
      <c r="G74" s="307">
        <v>1</v>
      </c>
      <c r="H74" s="308">
        <v>4</v>
      </c>
      <c r="I74" s="307">
        <v>0</v>
      </c>
      <c r="J74" s="310">
        <v>4</v>
      </c>
      <c r="K74" s="306">
        <v>1805</v>
      </c>
      <c r="L74" s="307">
        <v>11</v>
      </c>
      <c r="M74" s="308">
        <v>9</v>
      </c>
      <c r="N74" s="307">
        <v>0</v>
      </c>
      <c r="O74" s="310">
        <v>9</v>
      </c>
      <c r="P74" s="306">
        <v>1794</v>
      </c>
      <c r="Q74" s="307">
        <v>30</v>
      </c>
      <c r="R74" s="308">
        <v>18</v>
      </c>
      <c r="S74" s="307">
        <v>5</v>
      </c>
      <c r="T74" s="310">
        <v>18</v>
      </c>
      <c r="U74" s="309">
        <v>1769</v>
      </c>
      <c r="V74" s="307">
        <v>5</v>
      </c>
      <c r="W74" s="308">
        <v>3.3</v>
      </c>
      <c r="X74" s="307">
        <v>4.3</v>
      </c>
      <c r="Y74" s="308">
        <v>1.8</v>
      </c>
      <c r="Z74" s="306">
        <v>1766.8</v>
      </c>
      <c r="AA74" s="307">
        <v>0.6</v>
      </c>
      <c r="AB74" s="308">
        <v>22</v>
      </c>
      <c r="AC74" s="307">
        <v>0.7</v>
      </c>
      <c r="AD74" s="308">
        <v>8.6</v>
      </c>
      <c r="AE74" s="306">
        <v>1753.5</v>
      </c>
    </row>
    <row r="75" spans="2:31" ht="12.75">
      <c r="B75" s="305"/>
      <c r="C75" s="294"/>
      <c r="D75" s="299"/>
      <c r="E75" s="294" t="s">
        <v>381</v>
      </c>
      <c r="F75" s="306">
        <v>947</v>
      </c>
      <c r="G75" s="307">
        <v>0</v>
      </c>
      <c r="H75" s="308">
        <v>0</v>
      </c>
      <c r="I75" s="307">
        <v>0</v>
      </c>
      <c r="J75" s="310">
        <v>2</v>
      </c>
      <c r="K75" s="306">
        <v>949</v>
      </c>
      <c r="L75" s="307">
        <v>0</v>
      </c>
      <c r="M75" s="308">
        <v>0</v>
      </c>
      <c r="N75" s="307">
        <v>0</v>
      </c>
      <c r="O75" s="310">
        <v>0</v>
      </c>
      <c r="P75" s="306">
        <v>949</v>
      </c>
      <c r="Q75" s="307">
        <v>24</v>
      </c>
      <c r="R75" s="308">
        <v>0</v>
      </c>
      <c r="S75" s="307">
        <v>8</v>
      </c>
      <c r="T75" s="310">
        <v>0</v>
      </c>
      <c r="U75" s="309">
        <v>933</v>
      </c>
      <c r="V75" s="307">
        <v>0</v>
      </c>
      <c r="W75" s="308">
        <v>0</v>
      </c>
      <c r="X75" s="307">
        <v>0</v>
      </c>
      <c r="Y75" s="308">
        <v>0</v>
      </c>
      <c r="Z75" s="306">
        <v>933</v>
      </c>
      <c r="AA75" s="307">
        <v>0</v>
      </c>
      <c r="AB75" s="308">
        <v>0</v>
      </c>
      <c r="AC75" s="307">
        <v>0</v>
      </c>
      <c r="AD75" s="308">
        <v>0</v>
      </c>
      <c r="AE75" s="306">
        <v>933</v>
      </c>
    </row>
    <row r="76" spans="2:31" ht="12.75">
      <c r="B76" s="305"/>
      <c r="C76" s="294"/>
      <c r="D76" s="299"/>
      <c r="E76" s="294" t="s">
        <v>382</v>
      </c>
      <c r="F76" s="306">
        <v>0</v>
      </c>
      <c r="G76" s="307">
        <v>0</v>
      </c>
      <c r="H76" s="308">
        <v>0</v>
      </c>
      <c r="I76" s="307">
        <v>0</v>
      </c>
      <c r="J76" s="310">
        <v>0</v>
      </c>
      <c r="K76" s="306">
        <v>0</v>
      </c>
      <c r="L76" s="307">
        <v>0</v>
      </c>
      <c r="M76" s="308">
        <v>0</v>
      </c>
      <c r="N76" s="307">
        <v>0</v>
      </c>
      <c r="O76" s="310">
        <v>0</v>
      </c>
      <c r="P76" s="306">
        <v>0</v>
      </c>
      <c r="Q76" s="307">
        <v>0</v>
      </c>
      <c r="R76" s="308">
        <v>0</v>
      </c>
      <c r="S76" s="307">
        <v>0</v>
      </c>
      <c r="T76" s="310">
        <v>0</v>
      </c>
      <c r="U76" s="309">
        <v>0</v>
      </c>
      <c r="V76" s="307">
        <v>0</v>
      </c>
      <c r="W76" s="308">
        <v>0</v>
      </c>
      <c r="X76" s="307">
        <v>0</v>
      </c>
      <c r="Y76" s="308">
        <v>0</v>
      </c>
      <c r="Z76" s="306">
        <v>0</v>
      </c>
      <c r="AA76" s="307">
        <v>0</v>
      </c>
      <c r="AB76" s="308">
        <v>0</v>
      </c>
      <c r="AC76" s="307">
        <v>0</v>
      </c>
      <c r="AD76" s="308">
        <v>0</v>
      </c>
      <c r="AE76" s="306">
        <v>0</v>
      </c>
    </row>
    <row r="77" spans="2:31" ht="12.75">
      <c r="B77" s="305"/>
      <c r="C77" s="294"/>
      <c r="D77" s="299"/>
      <c r="E77" s="294" t="s">
        <v>383</v>
      </c>
      <c r="F77" s="306">
        <v>0</v>
      </c>
      <c r="G77" s="307">
        <v>0</v>
      </c>
      <c r="H77" s="308">
        <v>0</v>
      </c>
      <c r="I77" s="307">
        <v>0</v>
      </c>
      <c r="J77" s="310">
        <v>0</v>
      </c>
      <c r="K77" s="306">
        <v>0</v>
      </c>
      <c r="L77" s="307">
        <v>0</v>
      </c>
      <c r="M77" s="308">
        <v>0</v>
      </c>
      <c r="N77" s="307">
        <v>0</v>
      </c>
      <c r="O77" s="310">
        <v>0</v>
      </c>
      <c r="P77" s="306">
        <v>0</v>
      </c>
      <c r="Q77" s="307">
        <v>0</v>
      </c>
      <c r="R77" s="308">
        <v>0</v>
      </c>
      <c r="S77" s="307">
        <v>0</v>
      </c>
      <c r="T77" s="310">
        <v>0</v>
      </c>
      <c r="U77" s="309">
        <v>0</v>
      </c>
      <c r="V77" s="307">
        <v>0</v>
      </c>
      <c r="W77" s="308">
        <v>0</v>
      </c>
      <c r="X77" s="307">
        <v>0</v>
      </c>
      <c r="Y77" s="308">
        <v>0</v>
      </c>
      <c r="Z77" s="306">
        <v>0</v>
      </c>
      <c r="AA77" s="307">
        <v>0</v>
      </c>
      <c r="AB77" s="308">
        <v>0</v>
      </c>
      <c r="AC77" s="307">
        <v>0</v>
      </c>
      <c r="AD77" s="308">
        <v>0</v>
      </c>
      <c r="AE77" s="306">
        <v>0</v>
      </c>
    </row>
    <row r="78" spans="2:31" ht="12.75">
      <c r="B78" s="305"/>
      <c r="C78" s="294"/>
      <c r="D78" s="299"/>
      <c r="E78" s="294"/>
      <c r="F78" s="311"/>
      <c r="G78" s="312"/>
      <c r="H78" s="313"/>
      <c r="I78" s="312"/>
      <c r="J78" s="314"/>
      <c r="K78" s="311"/>
      <c r="L78" s="312"/>
      <c r="M78" s="313"/>
      <c r="N78" s="312"/>
      <c r="O78" s="314"/>
      <c r="P78" s="311"/>
      <c r="Q78" s="312"/>
      <c r="R78" s="313"/>
      <c r="S78" s="312"/>
      <c r="T78" s="314"/>
      <c r="U78" s="315"/>
      <c r="V78" s="312"/>
      <c r="W78" s="313"/>
      <c r="X78" s="312"/>
      <c r="Y78" s="313"/>
      <c r="Z78" s="311"/>
      <c r="AA78" s="312"/>
      <c r="AB78" s="313"/>
      <c r="AC78" s="312"/>
      <c r="AD78" s="313"/>
      <c r="AE78" s="311"/>
    </row>
    <row r="79" spans="2:31" ht="12.75">
      <c r="B79" s="305"/>
      <c r="C79" s="294"/>
      <c r="D79" s="299" t="s">
        <v>361</v>
      </c>
      <c r="E79" s="294"/>
      <c r="F79" s="311"/>
      <c r="G79" s="312"/>
      <c r="H79" s="313"/>
      <c r="I79" s="312"/>
      <c r="J79" s="314"/>
      <c r="K79" s="311"/>
      <c r="L79" s="312"/>
      <c r="M79" s="313"/>
      <c r="N79" s="312"/>
      <c r="O79" s="314"/>
      <c r="P79" s="311"/>
      <c r="Q79" s="312"/>
      <c r="R79" s="313"/>
      <c r="S79" s="312"/>
      <c r="T79" s="314"/>
      <c r="U79" s="315"/>
      <c r="V79" s="312"/>
      <c r="W79" s="313"/>
      <c r="X79" s="312"/>
      <c r="Y79" s="313"/>
      <c r="Z79" s="311"/>
      <c r="AA79" s="312"/>
      <c r="AB79" s="313"/>
      <c r="AC79" s="312"/>
      <c r="AD79" s="313"/>
      <c r="AE79" s="311"/>
    </row>
    <row r="80" spans="2:31" ht="12.75">
      <c r="B80" s="305"/>
      <c r="C80" s="294"/>
      <c r="D80" s="294"/>
      <c r="E80" s="294" t="s">
        <v>384</v>
      </c>
      <c r="F80" s="306">
        <v>28943</v>
      </c>
      <c r="G80" s="307">
        <v>1</v>
      </c>
      <c r="H80" s="308">
        <v>36</v>
      </c>
      <c r="I80" s="307">
        <v>1</v>
      </c>
      <c r="J80" s="310">
        <v>36</v>
      </c>
      <c r="K80" s="306">
        <v>28943</v>
      </c>
      <c r="L80" s="307">
        <v>276</v>
      </c>
      <c r="M80" s="308">
        <v>0</v>
      </c>
      <c r="N80" s="307">
        <v>6</v>
      </c>
      <c r="O80" s="310">
        <v>0</v>
      </c>
      <c r="P80" s="306">
        <v>28673</v>
      </c>
      <c r="Q80" s="307">
        <v>483</v>
      </c>
      <c r="R80" s="308">
        <v>144</v>
      </c>
      <c r="S80" s="307">
        <v>83</v>
      </c>
      <c r="T80" s="310">
        <v>144</v>
      </c>
      <c r="U80" s="309">
        <v>28273</v>
      </c>
      <c r="V80" s="307">
        <v>50</v>
      </c>
      <c r="W80" s="308">
        <v>32</v>
      </c>
      <c r="X80" s="307">
        <v>43</v>
      </c>
      <c r="Y80" s="308">
        <v>20</v>
      </c>
      <c r="Z80" s="306">
        <v>28254</v>
      </c>
      <c r="AA80" s="307">
        <v>6</v>
      </c>
      <c r="AB80" s="308">
        <v>232</v>
      </c>
      <c r="AC80" s="307">
        <v>7</v>
      </c>
      <c r="AD80" s="308">
        <v>102</v>
      </c>
      <c r="AE80" s="306">
        <v>28125</v>
      </c>
    </row>
    <row r="81" spans="2:31" ht="12.75">
      <c r="B81" s="305"/>
      <c r="C81" s="294"/>
      <c r="D81" s="294"/>
      <c r="E81" s="294" t="s">
        <v>385</v>
      </c>
      <c r="F81" s="306">
        <v>1326</v>
      </c>
      <c r="G81" s="307">
        <v>30</v>
      </c>
      <c r="H81" s="308">
        <v>0</v>
      </c>
      <c r="I81" s="307">
        <v>0</v>
      </c>
      <c r="J81" s="310">
        <v>0</v>
      </c>
      <c r="K81" s="306">
        <v>1296</v>
      </c>
      <c r="L81" s="307">
        <v>0</v>
      </c>
      <c r="M81" s="308">
        <v>0</v>
      </c>
      <c r="N81" s="307">
        <v>10</v>
      </c>
      <c r="O81" s="310">
        <v>7</v>
      </c>
      <c r="P81" s="306">
        <v>1313</v>
      </c>
      <c r="Q81" s="307">
        <v>63</v>
      </c>
      <c r="R81" s="308">
        <v>0</v>
      </c>
      <c r="S81" s="307">
        <v>37</v>
      </c>
      <c r="T81" s="310">
        <v>0</v>
      </c>
      <c r="U81" s="309">
        <v>1287</v>
      </c>
      <c r="V81" s="307">
        <v>0</v>
      </c>
      <c r="W81" s="308">
        <v>0</v>
      </c>
      <c r="X81" s="307">
        <v>0</v>
      </c>
      <c r="Y81" s="308">
        <v>0</v>
      </c>
      <c r="Z81" s="306">
        <v>1287</v>
      </c>
      <c r="AA81" s="307">
        <v>0</v>
      </c>
      <c r="AB81" s="308">
        <v>0</v>
      </c>
      <c r="AC81" s="307">
        <v>0</v>
      </c>
      <c r="AD81" s="308">
        <v>0</v>
      </c>
      <c r="AE81" s="306">
        <v>1287</v>
      </c>
    </row>
    <row r="82" spans="2:31" ht="12.75">
      <c r="B82" s="305"/>
      <c r="C82" s="294"/>
      <c r="D82" s="299"/>
      <c r="E82" s="294" t="s">
        <v>386</v>
      </c>
      <c r="F82" s="306">
        <v>0</v>
      </c>
      <c r="G82" s="307">
        <v>0</v>
      </c>
      <c r="H82" s="308">
        <v>0</v>
      </c>
      <c r="I82" s="307">
        <v>0</v>
      </c>
      <c r="J82" s="310">
        <v>0</v>
      </c>
      <c r="K82" s="306">
        <v>0</v>
      </c>
      <c r="L82" s="307">
        <v>0</v>
      </c>
      <c r="M82" s="308">
        <v>0</v>
      </c>
      <c r="N82" s="307">
        <v>0</v>
      </c>
      <c r="O82" s="310">
        <v>0</v>
      </c>
      <c r="P82" s="306">
        <v>0</v>
      </c>
      <c r="Q82" s="307">
        <v>0</v>
      </c>
      <c r="R82" s="308">
        <v>0</v>
      </c>
      <c r="S82" s="307">
        <v>0</v>
      </c>
      <c r="T82" s="310">
        <v>0</v>
      </c>
      <c r="U82" s="309">
        <v>0</v>
      </c>
      <c r="V82" s="307">
        <v>0</v>
      </c>
      <c r="W82" s="308">
        <v>0</v>
      </c>
      <c r="X82" s="307">
        <v>0</v>
      </c>
      <c r="Y82" s="308">
        <v>0</v>
      </c>
      <c r="Z82" s="306">
        <v>0</v>
      </c>
      <c r="AA82" s="307">
        <v>0</v>
      </c>
      <c r="AB82" s="308">
        <v>0</v>
      </c>
      <c r="AC82" s="307">
        <v>0</v>
      </c>
      <c r="AD82" s="308">
        <v>0</v>
      </c>
      <c r="AE82" s="306">
        <v>0</v>
      </c>
    </row>
    <row r="83" spans="2:31" ht="12.75">
      <c r="B83" s="305"/>
      <c r="C83" s="294"/>
      <c r="D83" s="299"/>
      <c r="E83" s="294" t="s">
        <v>387</v>
      </c>
      <c r="F83" s="306">
        <v>0</v>
      </c>
      <c r="G83" s="307">
        <v>0</v>
      </c>
      <c r="H83" s="308">
        <v>0</v>
      </c>
      <c r="I83" s="307">
        <v>0</v>
      </c>
      <c r="J83" s="310">
        <v>0</v>
      </c>
      <c r="K83" s="306">
        <v>0</v>
      </c>
      <c r="L83" s="307">
        <v>0</v>
      </c>
      <c r="M83" s="308">
        <v>0</v>
      </c>
      <c r="N83" s="307">
        <v>0</v>
      </c>
      <c r="O83" s="310">
        <v>0</v>
      </c>
      <c r="P83" s="306">
        <v>0</v>
      </c>
      <c r="Q83" s="307">
        <v>0</v>
      </c>
      <c r="R83" s="308">
        <v>0</v>
      </c>
      <c r="S83" s="307">
        <v>0</v>
      </c>
      <c r="T83" s="310">
        <v>0</v>
      </c>
      <c r="U83" s="309">
        <v>0</v>
      </c>
      <c r="V83" s="307">
        <v>0</v>
      </c>
      <c r="W83" s="308">
        <v>0</v>
      </c>
      <c r="X83" s="307">
        <v>0</v>
      </c>
      <c r="Y83" s="308">
        <v>0</v>
      </c>
      <c r="Z83" s="306">
        <v>0</v>
      </c>
      <c r="AA83" s="307">
        <v>0</v>
      </c>
      <c r="AB83" s="308">
        <v>0</v>
      </c>
      <c r="AC83" s="307">
        <v>0</v>
      </c>
      <c r="AD83" s="308">
        <v>0</v>
      </c>
      <c r="AE83" s="306">
        <v>0</v>
      </c>
    </row>
    <row r="84" spans="2:31" ht="12.75">
      <c r="B84" s="305"/>
      <c r="C84" s="294"/>
      <c r="D84" s="294"/>
      <c r="E84" s="294"/>
      <c r="F84" s="311"/>
      <c r="G84" s="312"/>
      <c r="H84" s="313"/>
      <c r="I84" s="312"/>
      <c r="J84" s="314"/>
      <c r="K84" s="311"/>
      <c r="L84" s="312"/>
      <c r="M84" s="313"/>
      <c r="N84" s="312"/>
      <c r="O84" s="314"/>
      <c r="P84" s="311"/>
      <c r="Q84" s="312"/>
      <c r="R84" s="313"/>
      <c r="S84" s="312"/>
      <c r="T84" s="314"/>
      <c r="U84" s="315"/>
      <c r="V84" s="312"/>
      <c r="W84" s="313"/>
      <c r="X84" s="312"/>
      <c r="Y84" s="313"/>
      <c r="Z84" s="311"/>
      <c r="AA84" s="312"/>
      <c r="AB84" s="313"/>
      <c r="AC84" s="312"/>
      <c r="AD84" s="313"/>
      <c r="AE84" s="311"/>
    </row>
    <row r="85" spans="2:31" ht="12.75">
      <c r="B85" s="292"/>
      <c r="C85" s="294"/>
      <c r="D85" s="299" t="s">
        <v>390</v>
      </c>
      <c r="E85" s="294"/>
      <c r="F85" s="311"/>
      <c r="G85" s="312"/>
      <c r="H85" s="313"/>
      <c r="I85" s="312"/>
      <c r="J85" s="314"/>
      <c r="K85" s="311"/>
      <c r="L85" s="312"/>
      <c r="M85" s="313"/>
      <c r="N85" s="312"/>
      <c r="O85" s="314"/>
      <c r="P85" s="311"/>
      <c r="Q85" s="312"/>
      <c r="R85" s="313"/>
      <c r="S85" s="312"/>
      <c r="T85" s="314"/>
      <c r="U85" s="315"/>
      <c r="V85" s="312"/>
      <c r="W85" s="313"/>
      <c r="X85" s="312"/>
      <c r="Y85" s="313"/>
      <c r="Z85" s="311"/>
      <c r="AA85" s="312"/>
      <c r="AB85" s="313"/>
      <c r="AC85" s="312"/>
      <c r="AD85" s="313"/>
      <c r="AE85" s="311"/>
    </row>
    <row r="86" spans="2:31" ht="12.75">
      <c r="B86" s="292"/>
      <c r="C86" s="294"/>
      <c r="D86" s="299"/>
      <c r="E86" s="294" t="s">
        <v>92</v>
      </c>
      <c r="F86" s="306">
        <v>1381</v>
      </c>
      <c r="G86" s="307">
        <v>0</v>
      </c>
      <c r="H86" s="308">
        <v>0</v>
      </c>
      <c r="I86" s="307">
        <v>67</v>
      </c>
      <c r="J86" s="310">
        <v>25</v>
      </c>
      <c r="K86" s="306">
        <v>1473</v>
      </c>
      <c r="L86" s="307">
        <v>2</v>
      </c>
      <c r="M86" s="308">
        <v>8</v>
      </c>
      <c r="N86" s="307">
        <v>55</v>
      </c>
      <c r="O86" s="310">
        <v>8</v>
      </c>
      <c r="P86" s="306">
        <v>1526</v>
      </c>
      <c r="Q86" s="307">
        <v>0</v>
      </c>
      <c r="R86" s="308">
        <v>0</v>
      </c>
      <c r="S86" s="307">
        <v>23</v>
      </c>
      <c r="T86" s="310">
        <v>16</v>
      </c>
      <c r="U86" s="309">
        <v>1565</v>
      </c>
      <c r="V86" s="307">
        <v>1.9</v>
      </c>
      <c r="W86" s="308">
        <v>19.2</v>
      </c>
      <c r="X86" s="307">
        <v>11.9</v>
      </c>
      <c r="Y86" s="308">
        <v>4.2</v>
      </c>
      <c r="Z86" s="306">
        <v>1560</v>
      </c>
      <c r="AA86" s="307">
        <v>1.1</v>
      </c>
      <c r="AB86" s="308">
        <v>12.4</v>
      </c>
      <c r="AC86" s="307">
        <v>4.4</v>
      </c>
      <c r="AD86" s="308">
        <v>11.7</v>
      </c>
      <c r="AE86" s="306">
        <v>1562.6</v>
      </c>
    </row>
    <row r="87" spans="2:31" ht="12.75">
      <c r="B87" s="292"/>
      <c r="C87" s="294"/>
      <c r="D87" s="299"/>
      <c r="E87" s="294" t="s">
        <v>93</v>
      </c>
      <c r="F87" s="306">
        <v>157</v>
      </c>
      <c r="G87" s="307">
        <v>1</v>
      </c>
      <c r="H87" s="308">
        <v>0</v>
      </c>
      <c r="I87" s="307">
        <v>0</v>
      </c>
      <c r="J87" s="310">
        <v>0</v>
      </c>
      <c r="K87" s="306">
        <v>156</v>
      </c>
      <c r="L87" s="307">
        <v>0</v>
      </c>
      <c r="M87" s="308">
        <v>0</v>
      </c>
      <c r="N87" s="307">
        <v>0</v>
      </c>
      <c r="O87" s="310">
        <v>0</v>
      </c>
      <c r="P87" s="306">
        <v>156</v>
      </c>
      <c r="Q87" s="307">
        <v>0</v>
      </c>
      <c r="R87" s="308">
        <v>0</v>
      </c>
      <c r="S87" s="307">
        <v>0</v>
      </c>
      <c r="T87" s="310">
        <v>0</v>
      </c>
      <c r="U87" s="309">
        <v>156</v>
      </c>
      <c r="V87" s="307">
        <v>0</v>
      </c>
      <c r="W87" s="308">
        <v>0</v>
      </c>
      <c r="X87" s="307">
        <v>0</v>
      </c>
      <c r="Y87" s="308">
        <v>0</v>
      </c>
      <c r="Z87" s="306">
        <v>156</v>
      </c>
      <c r="AA87" s="307">
        <v>0</v>
      </c>
      <c r="AB87" s="308">
        <v>0</v>
      </c>
      <c r="AC87" s="307">
        <v>0</v>
      </c>
      <c r="AD87" s="308">
        <v>0</v>
      </c>
      <c r="AE87" s="306">
        <v>156</v>
      </c>
    </row>
    <row r="88" spans="2:31" ht="12.75">
      <c r="B88" s="292"/>
      <c r="C88" s="294"/>
      <c r="D88" s="299"/>
      <c r="E88" s="294" t="s">
        <v>94</v>
      </c>
      <c r="F88" s="306">
        <v>0</v>
      </c>
      <c r="G88" s="307">
        <v>0</v>
      </c>
      <c r="H88" s="308">
        <v>0</v>
      </c>
      <c r="I88" s="307">
        <v>0</v>
      </c>
      <c r="J88" s="310">
        <v>0</v>
      </c>
      <c r="K88" s="306">
        <v>0</v>
      </c>
      <c r="L88" s="307">
        <v>0</v>
      </c>
      <c r="M88" s="308">
        <v>0</v>
      </c>
      <c r="N88" s="307">
        <v>0</v>
      </c>
      <c r="O88" s="310">
        <v>0</v>
      </c>
      <c r="P88" s="306">
        <v>0</v>
      </c>
      <c r="Q88" s="307">
        <v>0</v>
      </c>
      <c r="R88" s="308">
        <v>0</v>
      </c>
      <c r="S88" s="307">
        <v>0</v>
      </c>
      <c r="T88" s="310">
        <v>0</v>
      </c>
      <c r="U88" s="309">
        <v>0</v>
      </c>
      <c r="V88" s="307">
        <v>0</v>
      </c>
      <c r="W88" s="308">
        <v>0</v>
      </c>
      <c r="X88" s="307">
        <v>0</v>
      </c>
      <c r="Y88" s="308">
        <v>0</v>
      </c>
      <c r="Z88" s="306">
        <v>0</v>
      </c>
      <c r="AA88" s="307">
        <v>0</v>
      </c>
      <c r="AB88" s="308">
        <v>0</v>
      </c>
      <c r="AC88" s="307">
        <v>0</v>
      </c>
      <c r="AD88" s="308">
        <v>0</v>
      </c>
      <c r="AE88" s="306">
        <v>0</v>
      </c>
    </row>
    <row r="89" spans="2:31" ht="12.75">
      <c r="B89" s="292"/>
      <c r="C89" s="294"/>
      <c r="D89" s="299"/>
      <c r="E89" s="294" t="s">
        <v>266</v>
      </c>
      <c r="F89" s="306">
        <v>0</v>
      </c>
      <c r="G89" s="307">
        <v>0</v>
      </c>
      <c r="H89" s="308">
        <v>0</v>
      </c>
      <c r="I89" s="307">
        <v>0</v>
      </c>
      <c r="J89" s="310">
        <v>0</v>
      </c>
      <c r="K89" s="306">
        <v>0</v>
      </c>
      <c r="L89" s="307">
        <v>0</v>
      </c>
      <c r="M89" s="308">
        <v>0</v>
      </c>
      <c r="N89" s="307">
        <v>0</v>
      </c>
      <c r="O89" s="310">
        <v>0</v>
      </c>
      <c r="P89" s="306">
        <v>0</v>
      </c>
      <c r="Q89" s="307">
        <v>0</v>
      </c>
      <c r="R89" s="308">
        <v>0</v>
      </c>
      <c r="S89" s="307">
        <v>0</v>
      </c>
      <c r="T89" s="310">
        <v>0</v>
      </c>
      <c r="U89" s="309">
        <v>0</v>
      </c>
      <c r="V89" s="307">
        <v>0</v>
      </c>
      <c r="W89" s="308">
        <v>0</v>
      </c>
      <c r="X89" s="307">
        <v>0</v>
      </c>
      <c r="Y89" s="308">
        <v>0</v>
      </c>
      <c r="Z89" s="306">
        <v>0</v>
      </c>
      <c r="AA89" s="307">
        <v>0</v>
      </c>
      <c r="AB89" s="308">
        <v>0</v>
      </c>
      <c r="AC89" s="307">
        <v>0</v>
      </c>
      <c r="AD89" s="308">
        <v>0</v>
      </c>
      <c r="AE89" s="306">
        <v>0</v>
      </c>
    </row>
    <row r="90" spans="2:31" ht="12.75">
      <c r="B90" s="292"/>
      <c r="C90" s="294"/>
      <c r="D90" s="299"/>
      <c r="E90" s="294" t="s">
        <v>260</v>
      </c>
      <c r="F90" s="306">
        <v>0</v>
      </c>
      <c r="G90" s="307">
        <v>0</v>
      </c>
      <c r="H90" s="308">
        <v>0</v>
      </c>
      <c r="I90" s="307">
        <v>0</v>
      </c>
      <c r="J90" s="310">
        <v>0</v>
      </c>
      <c r="K90" s="306">
        <v>0</v>
      </c>
      <c r="L90" s="307">
        <v>0</v>
      </c>
      <c r="M90" s="308">
        <v>0</v>
      </c>
      <c r="N90" s="307">
        <v>0</v>
      </c>
      <c r="O90" s="310">
        <v>0</v>
      </c>
      <c r="P90" s="306">
        <v>0</v>
      </c>
      <c r="Q90" s="307">
        <v>0</v>
      </c>
      <c r="R90" s="308">
        <v>0</v>
      </c>
      <c r="S90" s="307">
        <v>0</v>
      </c>
      <c r="T90" s="310">
        <v>0</v>
      </c>
      <c r="U90" s="309">
        <v>0</v>
      </c>
      <c r="V90" s="307">
        <v>0</v>
      </c>
      <c r="W90" s="308">
        <v>0</v>
      </c>
      <c r="X90" s="307">
        <v>0</v>
      </c>
      <c r="Y90" s="308">
        <v>0</v>
      </c>
      <c r="Z90" s="306">
        <v>0</v>
      </c>
      <c r="AA90" s="307">
        <v>0</v>
      </c>
      <c r="AB90" s="308">
        <v>0</v>
      </c>
      <c r="AC90" s="307">
        <v>0</v>
      </c>
      <c r="AD90" s="308">
        <v>0</v>
      </c>
      <c r="AE90" s="306">
        <v>0</v>
      </c>
    </row>
    <row r="91" spans="2:31" ht="12.75">
      <c r="B91" s="292"/>
      <c r="C91" s="294"/>
      <c r="D91" s="299"/>
      <c r="E91" s="294" t="s">
        <v>261</v>
      </c>
      <c r="F91" s="306">
        <v>0</v>
      </c>
      <c r="G91" s="307">
        <v>0</v>
      </c>
      <c r="H91" s="308">
        <v>0</v>
      </c>
      <c r="I91" s="307">
        <v>0</v>
      </c>
      <c r="J91" s="310">
        <v>0</v>
      </c>
      <c r="K91" s="306">
        <v>0</v>
      </c>
      <c r="L91" s="307">
        <v>0</v>
      </c>
      <c r="M91" s="308">
        <v>0</v>
      </c>
      <c r="N91" s="307">
        <v>0</v>
      </c>
      <c r="O91" s="310">
        <v>0</v>
      </c>
      <c r="P91" s="306">
        <v>0</v>
      </c>
      <c r="Q91" s="307">
        <v>0</v>
      </c>
      <c r="R91" s="308">
        <v>0</v>
      </c>
      <c r="S91" s="307">
        <v>0</v>
      </c>
      <c r="T91" s="310">
        <v>0</v>
      </c>
      <c r="U91" s="309">
        <v>0</v>
      </c>
      <c r="V91" s="307">
        <v>0</v>
      </c>
      <c r="W91" s="308">
        <v>0</v>
      </c>
      <c r="X91" s="307">
        <v>0</v>
      </c>
      <c r="Y91" s="308">
        <v>0</v>
      </c>
      <c r="Z91" s="306">
        <v>0</v>
      </c>
      <c r="AA91" s="307">
        <v>0</v>
      </c>
      <c r="AB91" s="308">
        <v>0</v>
      </c>
      <c r="AC91" s="307">
        <v>0</v>
      </c>
      <c r="AD91" s="308">
        <v>0</v>
      </c>
      <c r="AE91" s="306">
        <v>0</v>
      </c>
    </row>
    <row r="92" spans="2:31" ht="12.75">
      <c r="B92" s="292"/>
      <c r="C92" s="294"/>
      <c r="D92" s="294"/>
      <c r="E92" s="294"/>
      <c r="F92" s="311"/>
      <c r="G92" s="312"/>
      <c r="H92" s="313"/>
      <c r="I92" s="312"/>
      <c r="J92" s="314"/>
      <c r="K92" s="311"/>
      <c r="L92" s="312"/>
      <c r="M92" s="313"/>
      <c r="N92" s="312"/>
      <c r="O92" s="314"/>
      <c r="P92" s="311"/>
      <c r="Q92" s="312"/>
      <c r="R92" s="313"/>
      <c r="S92" s="312"/>
      <c r="T92" s="314"/>
      <c r="U92" s="315"/>
      <c r="V92" s="312"/>
      <c r="W92" s="313"/>
      <c r="X92" s="312"/>
      <c r="Y92" s="313"/>
      <c r="Z92" s="311"/>
      <c r="AA92" s="312"/>
      <c r="AB92" s="313"/>
      <c r="AC92" s="312"/>
      <c r="AD92" s="313"/>
      <c r="AE92" s="311"/>
    </row>
    <row r="93" spans="2:31" ht="12.75">
      <c r="B93" s="292"/>
      <c r="C93" s="294"/>
      <c r="D93" s="299" t="s">
        <v>682</v>
      </c>
      <c r="E93" s="294"/>
      <c r="F93" s="311"/>
      <c r="G93" s="312"/>
      <c r="H93" s="313"/>
      <c r="I93" s="312"/>
      <c r="J93" s="314"/>
      <c r="K93" s="311"/>
      <c r="L93" s="312"/>
      <c r="M93" s="313"/>
      <c r="N93" s="312"/>
      <c r="O93" s="314"/>
      <c r="P93" s="311"/>
      <c r="Q93" s="312"/>
      <c r="R93" s="313"/>
      <c r="S93" s="312"/>
      <c r="T93" s="314"/>
      <c r="U93" s="315"/>
      <c r="V93" s="312"/>
      <c r="W93" s="313"/>
      <c r="X93" s="312"/>
      <c r="Y93" s="313"/>
      <c r="Z93" s="311"/>
      <c r="AA93" s="312"/>
      <c r="AB93" s="313"/>
      <c r="AC93" s="312"/>
      <c r="AD93" s="313"/>
      <c r="AE93" s="311"/>
    </row>
    <row r="94" spans="2:31" ht="12.75">
      <c r="B94" s="292"/>
      <c r="C94" s="294"/>
      <c r="D94" s="294"/>
      <c r="E94" s="294" t="s">
        <v>301</v>
      </c>
      <c r="F94" s="306">
        <v>0</v>
      </c>
      <c r="G94" s="307">
        <v>0</v>
      </c>
      <c r="H94" s="308">
        <v>0</v>
      </c>
      <c r="I94" s="307">
        <v>0</v>
      </c>
      <c r="J94" s="310">
        <v>0</v>
      </c>
      <c r="K94" s="306">
        <v>0</v>
      </c>
      <c r="L94" s="307">
        <v>0</v>
      </c>
      <c r="M94" s="308">
        <v>0</v>
      </c>
      <c r="N94" s="307">
        <v>0</v>
      </c>
      <c r="O94" s="310">
        <v>0</v>
      </c>
      <c r="P94" s="306">
        <v>0</v>
      </c>
      <c r="Q94" s="307">
        <v>0</v>
      </c>
      <c r="R94" s="308">
        <v>0</v>
      </c>
      <c r="S94" s="307">
        <v>0</v>
      </c>
      <c r="T94" s="310">
        <v>0</v>
      </c>
      <c r="U94" s="309">
        <v>0</v>
      </c>
      <c r="V94" s="307" t="s">
        <v>947</v>
      </c>
      <c r="W94" s="308">
        <v>0</v>
      </c>
      <c r="X94" s="307" t="s">
        <v>947</v>
      </c>
      <c r="Y94" s="308">
        <v>0</v>
      </c>
      <c r="Z94" s="306">
        <v>0</v>
      </c>
      <c r="AA94" s="307" t="s">
        <v>947</v>
      </c>
      <c r="AB94" s="308">
        <v>0</v>
      </c>
      <c r="AC94" s="307" t="s">
        <v>947</v>
      </c>
      <c r="AD94" s="308">
        <v>0</v>
      </c>
      <c r="AE94" s="306">
        <v>0</v>
      </c>
    </row>
    <row r="95" spans="2:31" ht="12.75">
      <c r="B95" s="292"/>
      <c r="C95" s="294"/>
      <c r="D95" s="299"/>
      <c r="E95" s="294"/>
      <c r="F95" s="311"/>
      <c r="G95" s="312"/>
      <c r="H95" s="313"/>
      <c r="I95" s="312"/>
      <c r="J95" s="314"/>
      <c r="K95" s="311"/>
      <c r="L95" s="312"/>
      <c r="M95" s="313"/>
      <c r="N95" s="312"/>
      <c r="O95" s="314"/>
      <c r="P95" s="311"/>
      <c r="Q95" s="312"/>
      <c r="R95" s="313"/>
      <c r="S95" s="312"/>
      <c r="T95" s="314"/>
      <c r="U95" s="315"/>
      <c r="V95" s="312"/>
      <c r="W95" s="313"/>
      <c r="X95" s="312"/>
      <c r="Y95" s="313"/>
      <c r="Z95" s="311"/>
      <c r="AA95" s="312"/>
      <c r="AB95" s="313"/>
      <c r="AC95" s="312"/>
      <c r="AD95" s="313"/>
      <c r="AE95" s="311"/>
    </row>
    <row r="96" spans="2:31" ht="12.75">
      <c r="B96" s="292"/>
      <c r="C96" s="294"/>
      <c r="D96" s="299" t="s">
        <v>216</v>
      </c>
      <c r="E96" s="294"/>
      <c r="F96" s="311"/>
      <c r="G96" s="312"/>
      <c r="H96" s="313"/>
      <c r="I96" s="312"/>
      <c r="J96" s="314"/>
      <c r="K96" s="311"/>
      <c r="L96" s="312"/>
      <c r="M96" s="313"/>
      <c r="N96" s="312"/>
      <c r="O96" s="314"/>
      <c r="P96" s="311"/>
      <c r="Q96" s="312"/>
      <c r="R96" s="313"/>
      <c r="S96" s="312"/>
      <c r="T96" s="314"/>
      <c r="U96" s="315"/>
      <c r="V96" s="312"/>
      <c r="W96" s="313"/>
      <c r="X96" s="312"/>
      <c r="Y96" s="313"/>
      <c r="Z96" s="311"/>
      <c r="AA96" s="312"/>
      <c r="AB96" s="313"/>
      <c r="AC96" s="312"/>
      <c r="AD96" s="313"/>
      <c r="AE96" s="311"/>
    </row>
    <row r="97" spans="2:31" ht="12.75">
      <c r="B97" s="292"/>
      <c r="C97" s="294"/>
      <c r="D97" s="299"/>
      <c r="E97" s="324" t="s">
        <v>302</v>
      </c>
      <c r="F97" s="306">
        <v>365</v>
      </c>
      <c r="G97" s="307">
        <v>0</v>
      </c>
      <c r="H97" s="308">
        <v>0</v>
      </c>
      <c r="I97" s="307">
        <v>5</v>
      </c>
      <c r="J97" s="310">
        <v>0</v>
      </c>
      <c r="K97" s="306">
        <v>370</v>
      </c>
      <c r="L97" s="307">
        <v>1</v>
      </c>
      <c r="M97" s="308">
        <v>0</v>
      </c>
      <c r="N97" s="307">
        <v>12</v>
      </c>
      <c r="O97" s="310">
        <v>0</v>
      </c>
      <c r="P97" s="306">
        <v>381</v>
      </c>
      <c r="Q97" s="307">
        <v>0</v>
      </c>
      <c r="R97" s="308">
        <v>0</v>
      </c>
      <c r="S97" s="307">
        <v>15</v>
      </c>
      <c r="T97" s="310">
        <v>15</v>
      </c>
      <c r="U97" s="309">
        <v>411</v>
      </c>
      <c r="V97" s="307">
        <v>0</v>
      </c>
      <c r="W97" s="308">
        <v>6</v>
      </c>
      <c r="X97" s="307">
        <v>0</v>
      </c>
      <c r="Y97" s="308">
        <v>6</v>
      </c>
      <c r="Z97" s="306">
        <v>411</v>
      </c>
      <c r="AA97" s="307">
        <v>0</v>
      </c>
      <c r="AB97" s="308">
        <v>7</v>
      </c>
      <c r="AC97" s="307">
        <v>3</v>
      </c>
      <c r="AD97" s="308">
        <v>7</v>
      </c>
      <c r="AE97" s="306">
        <v>414</v>
      </c>
    </row>
    <row r="98" spans="2:31" ht="12.75">
      <c r="B98" s="292"/>
      <c r="C98" s="294"/>
      <c r="D98" s="299"/>
      <c r="E98" s="324" t="s">
        <v>303</v>
      </c>
      <c r="F98" s="306">
        <v>569</v>
      </c>
      <c r="G98" s="307">
        <v>0</v>
      </c>
      <c r="H98" s="308">
        <v>0</v>
      </c>
      <c r="I98" s="307">
        <v>17</v>
      </c>
      <c r="J98" s="310">
        <v>1</v>
      </c>
      <c r="K98" s="306">
        <v>587</v>
      </c>
      <c r="L98" s="307">
        <v>0</v>
      </c>
      <c r="M98" s="308">
        <v>0</v>
      </c>
      <c r="N98" s="307">
        <v>0</v>
      </c>
      <c r="O98" s="310">
        <v>0</v>
      </c>
      <c r="P98" s="306">
        <v>587</v>
      </c>
      <c r="Q98" s="307">
        <v>12</v>
      </c>
      <c r="R98" s="308">
        <v>12</v>
      </c>
      <c r="S98" s="307">
        <v>1</v>
      </c>
      <c r="T98" s="310">
        <v>12</v>
      </c>
      <c r="U98" s="309">
        <v>576</v>
      </c>
      <c r="V98" s="307">
        <v>0</v>
      </c>
      <c r="W98" s="308">
        <v>9</v>
      </c>
      <c r="X98" s="307">
        <v>0</v>
      </c>
      <c r="Y98" s="308">
        <v>8</v>
      </c>
      <c r="Z98" s="306">
        <v>575</v>
      </c>
      <c r="AA98" s="307">
        <v>0</v>
      </c>
      <c r="AB98" s="308">
        <v>9</v>
      </c>
      <c r="AC98" s="307">
        <v>0</v>
      </c>
      <c r="AD98" s="308">
        <v>9</v>
      </c>
      <c r="AE98" s="306">
        <v>575</v>
      </c>
    </row>
    <row r="99" spans="2:31" ht="12.75">
      <c r="B99" s="292"/>
      <c r="C99" s="294"/>
      <c r="D99" s="299"/>
      <c r="E99" s="324" t="s">
        <v>304</v>
      </c>
      <c r="F99" s="306">
        <v>0</v>
      </c>
      <c r="G99" s="307">
        <v>0</v>
      </c>
      <c r="H99" s="308">
        <v>0</v>
      </c>
      <c r="I99" s="307">
        <v>0</v>
      </c>
      <c r="J99" s="310">
        <v>0</v>
      </c>
      <c r="K99" s="306">
        <v>0</v>
      </c>
      <c r="L99" s="307">
        <v>0</v>
      </c>
      <c r="M99" s="308">
        <v>0</v>
      </c>
      <c r="N99" s="307">
        <v>0</v>
      </c>
      <c r="O99" s="310">
        <v>0</v>
      </c>
      <c r="P99" s="306">
        <v>0</v>
      </c>
      <c r="Q99" s="307">
        <v>0</v>
      </c>
      <c r="R99" s="308">
        <v>0</v>
      </c>
      <c r="S99" s="307">
        <v>0</v>
      </c>
      <c r="T99" s="310">
        <v>0</v>
      </c>
      <c r="U99" s="309">
        <v>0</v>
      </c>
      <c r="V99" s="307">
        <v>0</v>
      </c>
      <c r="W99" s="308">
        <v>0</v>
      </c>
      <c r="X99" s="307">
        <v>0</v>
      </c>
      <c r="Y99" s="308">
        <v>0</v>
      </c>
      <c r="Z99" s="306">
        <v>0</v>
      </c>
      <c r="AA99" s="307">
        <v>0</v>
      </c>
      <c r="AB99" s="308">
        <v>0</v>
      </c>
      <c r="AC99" s="307">
        <v>0</v>
      </c>
      <c r="AD99" s="308">
        <v>0</v>
      </c>
      <c r="AE99" s="306">
        <v>0</v>
      </c>
    </row>
    <row r="100" spans="2:31" ht="12.75">
      <c r="B100" s="292"/>
      <c r="C100" s="294"/>
      <c r="D100" s="299"/>
      <c r="E100" s="324" t="s">
        <v>305</v>
      </c>
      <c r="F100" s="306">
        <v>0</v>
      </c>
      <c r="G100" s="307">
        <v>0</v>
      </c>
      <c r="H100" s="308">
        <v>0</v>
      </c>
      <c r="I100" s="307">
        <v>0</v>
      </c>
      <c r="J100" s="310">
        <v>0</v>
      </c>
      <c r="K100" s="306">
        <v>0</v>
      </c>
      <c r="L100" s="307">
        <v>0</v>
      </c>
      <c r="M100" s="308">
        <v>0</v>
      </c>
      <c r="N100" s="307">
        <v>0</v>
      </c>
      <c r="O100" s="310">
        <v>0</v>
      </c>
      <c r="P100" s="306">
        <v>0</v>
      </c>
      <c r="Q100" s="307">
        <v>0</v>
      </c>
      <c r="R100" s="308">
        <v>0</v>
      </c>
      <c r="S100" s="307">
        <v>0</v>
      </c>
      <c r="T100" s="310">
        <v>0</v>
      </c>
      <c r="U100" s="309">
        <v>0</v>
      </c>
      <c r="V100" s="307">
        <v>0</v>
      </c>
      <c r="W100" s="308">
        <v>0</v>
      </c>
      <c r="X100" s="307">
        <v>0</v>
      </c>
      <c r="Y100" s="308">
        <v>0</v>
      </c>
      <c r="Z100" s="306">
        <v>0</v>
      </c>
      <c r="AA100" s="307">
        <v>0</v>
      </c>
      <c r="AB100" s="308">
        <v>0</v>
      </c>
      <c r="AC100" s="307">
        <v>0</v>
      </c>
      <c r="AD100" s="308">
        <v>0</v>
      </c>
      <c r="AE100" s="306">
        <v>0</v>
      </c>
    </row>
    <row r="101" spans="2:31" ht="12.75">
      <c r="B101" s="292"/>
      <c r="C101" s="294"/>
      <c r="D101" s="299"/>
      <c r="E101" s="324" t="s">
        <v>306</v>
      </c>
      <c r="F101" s="306">
        <v>51</v>
      </c>
      <c r="G101" s="307">
        <v>0</v>
      </c>
      <c r="H101" s="308">
        <v>0</v>
      </c>
      <c r="I101" s="307">
        <v>0</v>
      </c>
      <c r="J101" s="310">
        <v>0</v>
      </c>
      <c r="K101" s="306">
        <v>51</v>
      </c>
      <c r="L101" s="307">
        <v>1</v>
      </c>
      <c r="M101" s="308">
        <v>0</v>
      </c>
      <c r="N101" s="307">
        <v>5</v>
      </c>
      <c r="O101" s="310">
        <v>0</v>
      </c>
      <c r="P101" s="306">
        <v>55</v>
      </c>
      <c r="Q101" s="307">
        <v>2</v>
      </c>
      <c r="R101" s="308">
        <v>0</v>
      </c>
      <c r="S101" s="307">
        <v>1</v>
      </c>
      <c r="T101" s="310">
        <v>0</v>
      </c>
      <c r="U101" s="309">
        <v>54</v>
      </c>
      <c r="V101" s="307">
        <v>0</v>
      </c>
      <c r="W101" s="308">
        <v>0</v>
      </c>
      <c r="X101" s="307">
        <v>0</v>
      </c>
      <c r="Y101" s="308">
        <v>0</v>
      </c>
      <c r="Z101" s="306">
        <v>54</v>
      </c>
      <c r="AA101" s="307">
        <v>0</v>
      </c>
      <c r="AB101" s="308">
        <v>0</v>
      </c>
      <c r="AC101" s="307">
        <v>0</v>
      </c>
      <c r="AD101" s="308">
        <v>0</v>
      </c>
      <c r="AE101" s="306">
        <v>54</v>
      </c>
    </row>
    <row r="102" spans="2:31" ht="12.75">
      <c r="B102" s="292"/>
      <c r="C102" s="294"/>
      <c r="D102" s="299"/>
      <c r="E102" s="324" t="s">
        <v>307</v>
      </c>
      <c r="F102" s="306">
        <v>2013</v>
      </c>
      <c r="G102" s="307">
        <v>0</v>
      </c>
      <c r="H102" s="308">
        <v>0</v>
      </c>
      <c r="I102" s="307">
        <v>2</v>
      </c>
      <c r="J102" s="310">
        <v>0</v>
      </c>
      <c r="K102" s="306">
        <v>2015</v>
      </c>
      <c r="L102" s="307">
        <v>0</v>
      </c>
      <c r="M102" s="308">
        <v>0</v>
      </c>
      <c r="N102" s="307">
        <v>2</v>
      </c>
      <c r="O102" s="310">
        <v>0</v>
      </c>
      <c r="P102" s="306">
        <v>2017</v>
      </c>
      <c r="Q102" s="307">
        <v>0</v>
      </c>
      <c r="R102" s="308">
        <v>17</v>
      </c>
      <c r="S102" s="307">
        <v>2</v>
      </c>
      <c r="T102" s="310">
        <v>42</v>
      </c>
      <c r="U102" s="309">
        <v>2044</v>
      </c>
      <c r="V102" s="307">
        <v>0</v>
      </c>
      <c r="W102" s="308">
        <v>0</v>
      </c>
      <c r="X102" s="307">
        <v>0</v>
      </c>
      <c r="Y102" s="308">
        <v>0</v>
      </c>
      <c r="Z102" s="306">
        <v>2044</v>
      </c>
      <c r="AA102" s="307">
        <v>0</v>
      </c>
      <c r="AB102" s="308">
        <v>0</v>
      </c>
      <c r="AC102" s="307">
        <v>0</v>
      </c>
      <c r="AD102" s="308">
        <v>0</v>
      </c>
      <c r="AE102" s="306">
        <v>2044</v>
      </c>
    </row>
    <row r="103" spans="2:31" ht="12.75">
      <c r="B103" s="292"/>
      <c r="C103" s="294"/>
      <c r="D103" s="299"/>
      <c r="E103" s="324" t="s">
        <v>308</v>
      </c>
      <c r="F103" s="306">
        <v>0</v>
      </c>
      <c r="G103" s="307">
        <v>0</v>
      </c>
      <c r="H103" s="308">
        <v>0</v>
      </c>
      <c r="I103" s="307">
        <v>0</v>
      </c>
      <c r="J103" s="310">
        <v>0</v>
      </c>
      <c r="K103" s="306">
        <v>0</v>
      </c>
      <c r="L103" s="307">
        <v>0</v>
      </c>
      <c r="M103" s="308">
        <v>0</v>
      </c>
      <c r="N103" s="307">
        <v>0</v>
      </c>
      <c r="O103" s="310">
        <v>0</v>
      </c>
      <c r="P103" s="306">
        <v>0</v>
      </c>
      <c r="Q103" s="307">
        <v>0</v>
      </c>
      <c r="R103" s="308">
        <v>0</v>
      </c>
      <c r="S103" s="307">
        <v>0</v>
      </c>
      <c r="T103" s="310">
        <v>0</v>
      </c>
      <c r="U103" s="309">
        <v>0</v>
      </c>
      <c r="V103" s="307">
        <v>0</v>
      </c>
      <c r="W103" s="308">
        <v>0</v>
      </c>
      <c r="X103" s="307">
        <v>0</v>
      </c>
      <c r="Y103" s="308">
        <v>0</v>
      </c>
      <c r="Z103" s="306">
        <v>0</v>
      </c>
      <c r="AA103" s="307">
        <v>0</v>
      </c>
      <c r="AB103" s="308">
        <v>0</v>
      </c>
      <c r="AC103" s="307">
        <v>0</v>
      </c>
      <c r="AD103" s="308">
        <v>0</v>
      </c>
      <c r="AE103" s="306">
        <v>0</v>
      </c>
    </row>
    <row r="104" spans="2:31" ht="12.75">
      <c r="B104" s="292"/>
      <c r="C104" s="294"/>
      <c r="D104" s="299"/>
      <c r="E104" s="324" t="s">
        <v>309</v>
      </c>
      <c r="F104" s="306">
        <v>0</v>
      </c>
      <c r="G104" s="307">
        <v>0</v>
      </c>
      <c r="H104" s="308">
        <v>0</v>
      </c>
      <c r="I104" s="307">
        <v>0</v>
      </c>
      <c r="J104" s="310">
        <v>0</v>
      </c>
      <c r="K104" s="306">
        <v>0</v>
      </c>
      <c r="L104" s="307">
        <v>0</v>
      </c>
      <c r="M104" s="308">
        <v>0</v>
      </c>
      <c r="N104" s="307">
        <v>0</v>
      </c>
      <c r="O104" s="310">
        <v>0</v>
      </c>
      <c r="P104" s="306">
        <v>0</v>
      </c>
      <c r="Q104" s="307">
        <v>0</v>
      </c>
      <c r="R104" s="308">
        <v>0</v>
      </c>
      <c r="S104" s="307">
        <v>0</v>
      </c>
      <c r="T104" s="310">
        <v>0</v>
      </c>
      <c r="U104" s="309">
        <v>0</v>
      </c>
      <c r="V104" s="307">
        <v>0</v>
      </c>
      <c r="W104" s="308">
        <v>0</v>
      </c>
      <c r="X104" s="307">
        <v>0</v>
      </c>
      <c r="Y104" s="308">
        <v>0</v>
      </c>
      <c r="Z104" s="306">
        <v>0</v>
      </c>
      <c r="AA104" s="307">
        <v>0</v>
      </c>
      <c r="AB104" s="308">
        <v>0</v>
      </c>
      <c r="AC104" s="307">
        <v>0</v>
      </c>
      <c r="AD104" s="308">
        <v>0</v>
      </c>
      <c r="AE104" s="306">
        <v>0</v>
      </c>
    </row>
    <row r="105" spans="2:31" ht="12.75">
      <c r="B105" s="292"/>
      <c r="C105" s="294"/>
      <c r="D105" s="299"/>
      <c r="E105" s="294"/>
      <c r="F105" s="311"/>
      <c r="G105" s="312"/>
      <c r="H105" s="313"/>
      <c r="I105" s="312"/>
      <c r="J105" s="314"/>
      <c r="K105" s="311"/>
      <c r="L105" s="312"/>
      <c r="M105" s="313"/>
      <c r="N105" s="312"/>
      <c r="O105" s="314"/>
      <c r="P105" s="311"/>
      <c r="Q105" s="312"/>
      <c r="R105" s="313"/>
      <c r="S105" s="312"/>
      <c r="T105" s="314"/>
      <c r="U105" s="315"/>
      <c r="V105" s="312"/>
      <c r="W105" s="313"/>
      <c r="X105" s="312"/>
      <c r="Y105" s="313"/>
      <c r="Z105" s="311"/>
      <c r="AA105" s="312"/>
      <c r="AB105" s="313"/>
      <c r="AC105" s="312"/>
      <c r="AD105" s="313"/>
      <c r="AE105" s="311"/>
    </row>
    <row r="106" spans="2:31" ht="12.75">
      <c r="B106" s="292"/>
      <c r="C106" s="294"/>
      <c r="D106" s="299" t="s">
        <v>376</v>
      </c>
      <c r="E106" s="294"/>
      <c r="F106" s="311"/>
      <c r="G106" s="312"/>
      <c r="H106" s="313"/>
      <c r="I106" s="312"/>
      <c r="J106" s="314"/>
      <c r="K106" s="311"/>
      <c r="L106" s="312"/>
      <c r="M106" s="313"/>
      <c r="N106" s="312"/>
      <c r="O106" s="314"/>
      <c r="P106" s="311"/>
      <c r="Q106" s="312"/>
      <c r="R106" s="313"/>
      <c r="S106" s="312"/>
      <c r="T106" s="314"/>
      <c r="U106" s="315"/>
      <c r="V106" s="312"/>
      <c r="W106" s="313"/>
      <c r="X106" s="312"/>
      <c r="Y106" s="313"/>
      <c r="Z106" s="311"/>
      <c r="AA106" s="312"/>
      <c r="AB106" s="313"/>
      <c r="AC106" s="312"/>
      <c r="AD106" s="313"/>
      <c r="AE106" s="311"/>
    </row>
    <row r="107" spans="2:31" ht="12.75">
      <c r="B107" s="292"/>
      <c r="C107" s="294"/>
      <c r="D107" s="294"/>
      <c r="E107" s="324" t="s">
        <v>310</v>
      </c>
      <c r="F107" s="306">
        <v>0</v>
      </c>
      <c r="G107" s="307">
        <v>0</v>
      </c>
      <c r="H107" s="308">
        <v>0</v>
      </c>
      <c r="I107" s="307">
        <v>0</v>
      </c>
      <c r="J107" s="310">
        <v>0</v>
      </c>
      <c r="K107" s="306">
        <v>0</v>
      </c>
      <c r="L107" s="307">
        <v>0</v>
      </c>
      <c r="M107" s="308">
        <v>0</v>
      </c>
      <c r="N107" s="307">
        <v>0</v>
      </c>
      <c r="O107" s="310">
        <v>0</v>
      </c>
      <c r="P107" s="306">
        <v>0</v>
      </c>
      <c r="Q107" s="307">
        <v>0</v>
      </c>
      <c r="R107" s="308">
        <v>0</v>
      </c>
      <c r="S107" s="307">
        <v>0</v>
      </c>
      <c r="T107" s="310">
        <v>0</v>
      </c>
      <c r="U107" s="309">
        <v>0</v>
      </c>
      <c r="V107" s="307">
        <v>0</v>
      </c>
      <c r="W107" s="308">
        <v>0</v>
      </c>
      <c r="X107" s="307">
        <v>0</v>
      </c>
      <c r="Y107" s="308">
        <v>0</v>
      </c>
      <c r="Z107" s="306">
        <v>0</v>
      </c>
      <c r="AA107" s="307">
        <v>0</v>
      </c>
      <c r="AB107" s="308">
        <v>0</v>
      </c>
      <c r="AC107" s="307">
        <v>0</v>
      </c>
      <c r="AD107" s="308">
        <v>0</v>
      </c>
      <c r="AE107" s="306">
        <v>0</v>
      </c>
    </row>
    <row r="108" spans="2:31" ht="12.75">
      <c r="B108" s="292"/>
      <c r="C108" s="294"/>
      <c r="D108" s="294"/>
      <c r="E108" s="324" t="s">
        <v>311</v>
      </c>
      <c r="F108" s="306">
        <v>702</v>
      </c>
      <c r="G108" s="307">
        <v>0</v>
      </c>
      <c r="H108" s="308">
        <v>0</v>
      </c>
      <c r="I108" s="307">
        <v>11</v>
      </c>
      <c r="J108" s="310">
        <v>0</v>
      </c>
      <c r="K108" s="306">
        <v>713</v>
      </c>
      <c r="L108" s="307">
        <v>3</v>
      </c>
      <c r="M108" s="308">
        <v>3</v>
      </c>
      <c r="N108" s="307">
        <v>6</v>
      </c>
      <c r="O108" s="310">
        <v>3</v>
      </c>
      <c r="P108" s="306">
        <v>716</v>
      </c>
      <c r="Q108" s="307">
        <v>0</v>
      </c>
      <c r="R108" s="308">
        <v>0</v>
      </c>
      <c r="S108" s="307">
        <v>0</v>
      </c>
      <c r="T108" s="310">
        <v>1</v>
      </c>
      <c r="U108" s="309">
        <v>717</v>
      </c>
      <c r="V108" s="307">
        <v>0</v>
      </c>
      <c r="W108" s="308">
        <v>5</v>
      </c>
      <c r="X108" s="307">
        <v>0</v>
      </c>
      <c r="Y108" s="308">
        <v>5</v>
      </c>
      <c r="Z108" s="306">
        <v>717</v>
      </c>
      <c r="AA108" s="307">
        <v>2</v>
      </c>
      <c r="AB108" s="308">
        <v>0</v>
      </c>
      <c r="AC108" s="307">
        <v>2</v>
      </c>
      <c r="AD108" s="308">
        <v>0</v>
      </c>
      <c r="AE108" s="306">
        <v>717</v>
      </c>
    </row>
    <row r="109" spans="2:31" ht="12.75">
      <c r="B109" s="292"/>
      <c r="C109" s="294"/>
      <c r="D109" s="294"/>
      <c r="E109" s="294" t="s">
        <v>312</v>
      </c>
      <c r="F109" s="306">
        <v>645</v>
      </c>
      <c r="G109" s="307">
        <v>0</v>
      </c>
      <c r="H109" s="308">
        <v>0</v>
      </c>
      <c r="I109" s="307">
        <v>5</v>
      </c>
      <c r="J109" s="310">
        <v>0</v>
      </c>
      <c r="K109" s="306">
        <v>650</v>
      </c>
      <c r="L109" s="307">
        <v>2</v>
      </c>
      <c r="M109" s="308">
        <v>0</v>
      </c>
      <c r="N109" s="307">
        <v>0</v>
      </c>
      <c r="O109" s="310">
        <v>0</v>
      </c>
      <c r="P109" s="306">
        <v>648</v>
      </c>
      <c r="Q109" s="307">
        <v>0</v>
      </c>
      <c r="R109" s="308">
        <v>13</v>
      </c>
      <c r="S109" s="307">
        <v>0</v>
      </c>
      <c r="T109" s="310">
        <v>16</v>
      </c>
      <c r="U109" s="309">
        <v>651</v>
      </c>
      <c r="V109" s="307">
        <v>0</v>
      </c>
      <c r="W109" s="308">
        <v>0</v>
      </c>
      <c r="X109" s="307">
        <v>0</v>
      </c>
      <c r="Y109" s="308">
        <v>0</v>
      </c>
      <c r="Z109" s="306">
        <v>651</v>
      </c>
      <c r="AA109" s="307">
        <v>0</v>
      </c>
      <c r="AB109" s="308">
        <v>0</v>
      </c>
      <c r="AC109" s="307">
        <v>0</v>
      </c>
      <c r="AD109" s="308">
        <v>0</v>
      </c>
      <c r="AE109" s="306">
        <v>651</v>
      </c>
    </row>
    <row r="110" spans="2:31" ht="12.75">
      <c r="B110" s="292"/>
      <c r="C110" s="294"/>
      <c r="D110" s="294"/>
      <c r="E110" s="324" t="s">
        <v>570</v>
      </c>
      <c r="F110" s="306">
        <v>0</v>
      </c>
      <c r="G110" s="307">
        <v>0</v>
      </c>
      <c r="H110" s="308">
        <v>0</v>
      </c>
      <c r="I110" s="307">
        <v>0</v>
      </c>
      <c r="J110" s="310">
        <v>0</v>
      </c>
      <c r="K110" s="306">
        <v>0</v>
      </c>
      <c r="L110" s="307">
        <v>0</v>
      </c>
      <c r="M110" s="308">
        <v>0</v>
      </c>
      <c r="N110" s="307">
        <v>0</v>
      </c>
      <c r="O110" s="310">
        <v>0</v>
      </c>
      <c r="P110" s="306">
        <v>0</v>
      </c>
      <c r="Q110" s="307">
        <v>0</v>
      </c>
      <c r="R110" s="308">
        <v>0</v>
      </c>
      <c r="S110" s="307">
        <v>0</v>
      </c>
      <c r="T110" s="310">
        <v>0</v>
      </c>
      <c r="U110" s="309">
        <v>0</v>
      </c>
      <c r="V110" s="307">
        <v>0</v>
      </c>
      <c r="W110" s="308">
        <v>0</v>
      </c>
      <c r="X110" s="307">
        <v>0</v>
      </c>
      <c r="Y110" s="308">
        <v>0</v>
      </c>
      <c r="Z110" s="306">
        <v>0</v>
      </c>
      <c r="AA110" s="307">
        <v>0</v>
      </c>
      <c r="AB110" s="308">
        <v>0</v>
      </c>
      <c r="AC110" s="307">
        <v>0</v>
      </c>
      <c r="AD110" s="308">
        <v>0</v>
      </c>
      <c r="AE110" s="306">
        <v>0</v>
      </c>
    </row>
    <row r="111" spans="2:31" ht="12.75">
      <c r="B111" s="292"/>
      <c r="C111" s="294"/>
      <c r="D111" s="299"/>
      <c r="E111" s="294" t="s">
        <v>707</v>
      </c>
      <c r="F111" s="306">
        <v>0</v>
      </c>
      <c r="G111" s="307">
        <v>0</v>
      </c>
      <c r="H111" s="308">
        <v>0</v>
      </c>
      <c r="I111" s="307">
        <v>0</v>
      </c>
      <c r="J111" s="310">
        <v>0</v>
      </c>
      <c r="K111" s="306">
        <v>0</v>
      </c>
      <c r="L111" s="307">
        <v>0</v>
      </c>
      <c r="M111" s="308">
        <v>0</v>
      </c>
      <c r="N111" s="307">
        <v>0</v>
      </c>
      <c r="O111" s="310">
        <v>0</v>
      </c>
      <c r="P111" s="306">
        <v>0</v>
      </c>
      <c r="Q111" s="307">
        <v>0</v>
      </c>
      <c r="R111" s="308">
        <v>0</v>
      </c>
      <c r="S111" s="307">
        <v>0</v>
      </c>
      <c r="T111" s="310">
        <v>0</v>
      </c>
      <c r="U111" s="309">
        <v>0</v>
      </c>
      <c r="V111" s="307">
        <v>0</v>
      </c>
      <c r="W111" s="308">
        <v>0</v>
      </c>
      <c r="X111" s="307">
        <v>0</v>
      </c>
      <c r="Y111" s="308">
        <v>0</v>
      </c>
      <c r="Z111" s="306">
        <v>0</v>
      </c>
      <c r="AA111" s="307">
        <v>0</v>
      </c>
      <c r="AB111" s="308">
        <v>0</v>
      </c>
      <c r="AC111" s="307">
        <v>0</v>
      </c>
      <c r="AD111" s="308">
        <v>0</v>
      </c>
      <c r="AE111" s="306">
        <v>0</v>
      </c>
    </row>
    <row r="112" spans="2:31" ht="13.5" thickBot="1">
      <c r="B112" s="290"/>
      <c r="C112" s="291"/>
      <c r="D112" s="291"/>
      <c r="E112" s="291"/>
      <c r="F112" s="316"/>
      <c r="G112" s="317"/>
      <c r="H112" s="318"/>
      <c r="I112" s="317"/>
      <c r="J112" s="319"/>
      <c r="K112" s="320"/>
      <c r="L112" s="317"/>
      <c r="M112" s="318"/>
      <c r="N112" s="317"/>
      <c r="O112" s="319"/>
      <c r="P112" s="320"/>
      <c r="Q112" s="317"/>
      <c r="R112" s="318"/>
      <c r="S112" s="317"/>
      <c r="T112" s="319"/>
      <c r="U112" s="321"/>
      <c r="V112" s="317"/>
      <c r="W112" s="318"/>
      <c r="X112" s="317"/>
      <c r="Y112" s="318"/>
      <c r="Z112" s="320"/>
      <c r="AA112" s="317"/>
      <c r="AB112" s="318"/>
      <c r="AC112" s="317"/>
      <c r="AD112" s="318"/>
      <c r="AE112" s="320"/>
    </row>
    <row r="113" spans="2:31" ht="12.75">
      <c r="B113" s="322"/>
      <c r="C113" s="323" t="s">
        <v>708</v>
      </c>
      <c r="D113" s="323"/>
      <c r="E113" s="324"/>
      <c r="F113" s="311"/>
      <c r="G113" s="312"/>
      <c r="H113" s="313"/>
      <c r="I113" s="312"/>
      <c r="J113" s="314"/>
      <c r="K113" s="311"/>
      <c r="L113" s="312"/>
      <c r="M113" s="313"/>
      <c r="N113" s="312"/>
      <c r="O113" s="314"/>
      <c r="P113" s="311"/>
      <c r="Q113" s="312"/>
      <c r="R113" s="313"/>
      <c r="S113" s="312"/>
      <c r="T113" s="314"/>
      <c r="U113" s="315"/>
      <c r="V113" s="312"/>
      <c r="W113" s="313"/>
      <c r="X113" s="312"/>
      <c r="Y113" s="313"/>
      <c r="Z113" s="311"/>
      <c r="AA113" s="312"/>
      <c r="AB113" s="313"/>
      <c r="AC113" s="312"/>
      <c r="AD113" s="313"/>
      <c r="AE113" s="311"/>
    </row>
    <row r="114" spans="2:31" ht="12.75">
      <c r="B114" s="292"/>
      <c r="C114" s="294"/>
      <c r="D114" s="299" t="s">
        <v>272</v>
      </c>
      <c r="E114" s="294"/>
      <c r="F114" s="311"/>
      <c r="G114" s="312"/>
      <c r="H114" s="313"/>
      <c r="I114" s="312"/>
      <c r="J114" s="314"/>
      <c r="K114" s="311"/>
      <c r="L114" s="312"/>
      <c r="M114" s="313"/>
      <c r="N114" s="312"/>
      <c r="O114" s="314"/>
      <c r="P114" s="311"/>
      <c r="Q114" s="312"/>
      <c r="R114" s="313"/>
      <c r="S114" s="312"/>
      <c r="T114" s="314"/>
      <c r="U114" s="315"/>
      <c r="V114" s="312"/>
      <c r="W114" s="313"/>
      <c r="X114" s="312"/>
      <c r="Y114" s="313"/>
      <c r="Z114" s="311"/>
      <c r="AA114" s="312"/>
      <c r="AB114" s="313"/>
      <c r="AC114" s="312"/>
      <c r="AD114" s="313"/>
      <c r="AE114" s="311"/>
    </row>
    <row r="115" spans="2:31" ht="12.75">
      <c r="B115" s="292"/>
      <c r="C115" s="294"/>
      <c r="D115" s="299"/>
      <c r="E115" s="294" t="s">
        <v>589</v>
      </c>
      <c r="F115" s="306">
        <v>143</v>
      </c>
      <c r="G115" s="307">
        <v>0</v>
      </c>
      <c r="H115" s="308">
        <v>1</v>
      </c>
      <c r="I115" s="307">
        <v>0</v>
      </c>
      <c r="J115" s="310">
        <v>1</v>
      </c>
      <c r="K115" s="306">
        <v>143</v>
      </c>
      <c r="L115" s="307">
        <v>5</v>
      </c>
      <c r="M115" s="308">
        <v>0</v>
      </c>
      <c r="N115" s="307">
        <v>0</v>
      </c>
      <c r="O115" s="310">
        <v>0</v>
      </c>
      <c r="P115" s="306">
        <v>138</v>
      </c>
      <c r="Q115" s="307">
        <v>0</v>
      </c>
      <c r="R115" s="308">
        <v>0</v>
      </c>
      <c r="S115" s="307">
        <v>0</v>
      </c>
      <c r="T115" s="310">
        <v>0</v>
      </c>
      <c r="U115" s="309">
        <v>138</v>
      </c>
      <c r="V115" s="307">
        <v>0</v>
      </c>
      <c r="W115" s="308">
        <v>0</v>
      </c>
      <c r="X115" s="307">
        <v>0</v>
      </c>
      <c r="Y115" s="308">
        <v>0</v>
      </c>
      <c r="Z115" s="306">
        <v>138</v>
      </c>
      <c r="AA115" s="307">
        <v>0</v>
      </c>
      <c r="AB115" s="308">
        <v>0</v>
      </c>
      <c r="AC115" s="307">
        <v>0</v>
      </c>
      <c r="AD115" s="308">
        <v>0</v>
      </c>
      <c r="AE115" s="306">
        <v>138</v>
      </c>
    </row>
    <row r="116" spans="2:31" ht="12.75">
      <c r="B116" s="292"/>
      <c r="C116" s="294"/>
      <c r="D116" s="299"/>
      <c r="E116" s="294" t="s">
        <v>590</v>
      </c>
      <c r="F116" s="306">
        <v>2233</v>
      </c>
      <c r="G116" s="307">
        <v>0</v>
      </c>
      <c r="H116" s="308">
        <v>0</v>
      </c>
      <c r="I116" s="307">
        <v>0</v>
      </c>
      <c r="J116" s="310">
        <v>0</v>
      </c>
      <c r="K116" s="306">
        <v>2233</v>
      </c>
      <c r="L116" s="307">
        <v>0</v>
      </c>
      <c r="M116" s="308">
        <v>0</v>
      </c>
      <c r="N116" s="307">
        <v>13</v>
      </c>
      <c r="O116" s="310">
        <v>0</v>
      </c>
      <c r="P116" s="306">
        <v>2246</v>
      </c>
      <c r="Q116" s="307">
        <v>4</v>
      </c>
      <c r="R116" s="308">
        <v>8</v>
      </c>
      <c r="S116" s="307">
        <v>4</v>
      </c>
      <c r="T116" s="310">
        <v>8</v>
      </c>
      <c r="U116" s="309">
        <v>2246</v>
      </c>
      <c r="V116" s="307">
        <v>0</v>
      </c>
      <c r="W116" s="308">
        <v>130</v>
      </c>
      <c r="X116" s="307">
        <v>0</v>
      </c>
      <c r="Y116" s="308">
        <v>130</v>
      </c>
      <c r="Z116" s="306">
        <v>2246</v>
      </c>
      <c r="AA116" s="307">
        <v>0</v>
      </c>
      <c r="AB116" s="308">
        <v>130</v>
      </c>
      <c r="AC116" s="307">
        <v>0</v>
      </c>
      <c r="AD116" s="308">
        <v>130</v>
      </c>
      <c r="AE116" s="306">
        <v>2246</v>
      </c>
    </row>
    <row r="117" spans="2:31" ht="12.75">
      <c r="B117" s="292"/>
      <c r="C117" s="294"/>
      <c r="D117" s="299"/>
      <c r="E117" s="324"/>
      <c r="F117" s="311"/>
      <c r="G117" s="312"/>
      <c r="H117" s="313"/>
      <c r="I117" s="312"/>
      <c r="J117" s="314"/>
      <c r="K117" s="311"/>
      <c r="L117" s="312"/>
      <c r="M117" s="313"/>
      <c r="N117" s="312"/>
      <c r="O117" s="314"/>
      <c r="P117" s="311"/>
      <c r="Q117" s="312"/>
      <c r="R117" s="313"/>
      <c r="S117" s="312"/>
      <c r="T117" s="314"/>
      <c r="U117" s="315"/>
      <c r="V117" s="312"/>
      <c r="W117" s="313"/>
      <c r="X117" s="312"/>
      <c r="Y117" s="313"/>
      <c r="Z117" s="311"/>
      <c r="AA117" s="312"/>
      <c r="AB117" s="313"/>
      <c r="AC117" s="312"/>
      <c r="AD117" s="313"/>
      <c r="AE117" s="311"/>
    </row>
    <row r="118" spans="2:31" ht="12.75">
      <c r="B118" s="292"/>
      <c r="C118" s="294"/>
      <c r="D118" s="299" t="s">
        <v>361</v>
      </c>
      <c r="E118" s="294"/>
      <c r="F118" s="311"/>
      <c r="G118" s="312"/>
      <c r="H118" s="313"/>
      <c r="I118" s="312"/>
      <c r="J118" s="314"/>
      <c r="K118" s="311"/>
      <c r="L118" s="312"/>
      <c r="M118" s="313"/>
      <c r="N118" s="312"/>
      <c r="O118" s="314"/>
      <c r="P118" s="311"/>
      <c r="Q118" s="312"/>
      <c r="R118" s="313"/>
      <c r="S118" s="312"/>
      <c r="T118" s="314"/>
      <c r="U118" s="315"/>
      <c r="V118" s="312"/>
      <c r="W118" s="313"/>
      <c r="X118" s="312"/>
      <c r="Y118" s="313"/>
      <c r="Z118" s="311"/>
      <c r="AA118" s="312"/>
      <c r="AB118" s="313"/>
      <c r="AC118" s="312"/>
      <c r="AD118" s="313"/>
      <c r="AE118" s="311"/>
    </row>
    <row r="119" spans="2:31" ht="12.75">
      <c r="B119" s="292"/>
      <c r="C119" s="294"/>
      <c r="D119" s="299"/>
      <c r="E119" s="294" t="s">
        <v>586</v>
      </c>
      <c r="F119" s="306">
        <v>56</v>
      </c>
      <c r="G119" s="307">
        <v>0</v>
      </c>
      <c r="H119" s="308">
        <v>0</v>
      </c>
      <c r="I119" s="307">
        <v>0</v>
      </c>
      <c r="J119" s="310">
        <v>0</v>
      </c>
      <c r="K119" s="306">
        <v>56</v>
      </c>
      <c r="L119" s="307">
        <v>0</v>
      </c>
      <c r="M119" s="308">
        <v>0</v>
      </c>
      <c r="N119" s="307">
        <v>0</v>
      </c>
      <c r="O119" s="310">
        <v>0</v>
      </c>
      <c r="P119" s="306">
        <v>56</v>
      </c>
      <c r="Q119" s="307">
        <v>0</v>
      </c>
      <c r="R119" s="308">
        <v>0</v>
      </c>
      <c r="S119" s="307">
        <v>0</v>
      </c>
      <c r="T119" s="310">
        <v>0</v>
      </c>
      <c r="U119" s="309">
        <v>56</v>
      </c>
      <c r="V119" s="307">
        <v>0</v>
      </c>
      <c r="W119" s="308">
        <v>0</v>
      </c>
      <c r="X119" s="307">
        <v>0</v>
      </c>
      <c r="Y119" s="308">
        <v>0</v>
      </c>
      <c r="Z119" s="306">
        <v>56</v>
      </c>
      <c r="AA119" s="307">
        <v>0</v>
      </c>
      <c r="AB119" s="308">
        <v>0</v>
      </c>
      <c r="AC119" s="307">
        <v>0</v>
      </c>
      <c r="AD119" s="308">
        <v>0</v>
      </c>
      <c r="AE119" s="306">
        <v>56</v>
      </c>
    </row>
    <row r="120" spans="2:31" ht="12.75">
      <c r="B120" s="292"/>
      <c r="C120" s="294"/>
      <c r="D120" s="299"/>
      <c r="E120" s="294" t="s">
        <v>587</v>
      </c>
      <c r="F120" s="306">
        <v>4569</v>
      </c>
      <c r="G120" s="307">
        <v>0</v>
      </c>
      <c r="H120" s="308">
        <v>7</v>
      </c>
      <c r="I120" s="307">
        <v>0</v>
      </c>
      <c r="J120" s="310">
        <v>7</v>
      </c>
      <c r="K120" s="306">
        <v>4569</v>
      </c>
      <c r="L120" s="307">
        <v>7</v>
      </c>
      <c r="M120" s="308">
        <v>0</v>
      </c>
      <c r="N120" s="307">
        <v>0</v>
      </c>
      <c r="O120" s="310">
        <v>0</v>
      </c>
      <c r="P120" s="306">
        <v>4562</v>
      </c>
      <c r="Q120" s="307">
        <v>0</v>
      </c>
      <c r="R120" s="308">
        <v>0</v>
      </c>
      <c r="S120" s="307">
        <v>0</v>
      </c>
      <c r="T120" s="310">
        <v>0</v>
      </c>
      <c r="U120" s="309">
        <v>4562</v>
      </c>
      <c r="V120" s="307">
        <v>0</v>
      </c>
      <c r="W120" s="308">
        <v>5</v>
      </c>
      <c r="X120" s="307">
        <v>0</v>
      </c>
      <c r="Y120" s="308">
        <v>5</v>
      </c>
      <c r="Z120" s="306">
        <v>4562</v>
      </c>
      <c r="AA120" s="307">
        <v>0</v>
      </c>
      <c r="AB120" s="308">
        <v>4</v>
      </c>
      <c r="AC120" s="307">
        <v>0</v>
      </c>
      <c r="AD120" s="308">
        <v>4</v>
      </c>
      <c r="AE120" s="306">
        <v>4562</v>
      </c>
    </row>
    <row r="121" spans="2:31" ht="12.75">
      <c r="B121" s="292"/>
      <c r="C121" s="294"/>
      <c r="D121" s="299"/>
      <c r="E121" s="324" t="s">
        <v>140</v>
      </c>
      <c r="F121" s="306">
        <v>9138</v>
      </c>
      <c r="G121" s="307">
        <v>0</v>
      </c>
      <c r="H121" s="308">
        <v>0</v>
      </c>
      <c r="I121" s="307">
        <v>0</v>
      </c>
      <c r="J121" s="310">
        <v>0</v>
      </c>
      <c r="K121" s="306">
        <v>9138</v>
      </c>
      <c r="L121" s="307">
        <v>14</v>
      </c>
      <c r="M121" s="308">
        <v>0</v>
      </c>
      <c r="N121" s="307">
        <v>0</v>
      </c>
      <c r="O121" s="310">
        <v>0</v>
      </c>
      <c r="P121" s="306">
        <v>9124</v>
      </c>
      <c r="Q121" s="307">
        <v>0</v>
      </c>
      <c r="R121" s="308">
        <v>0</v>
      </c>
      <c r="S121" s="307">
        <v>0</v>
      </c>
      <c r="T121" s="310">
        <v>0</v>
      </c>
      <c r="U121" s="309">
        <v>9124</v>
      </c>
      <c r="V121" s="307">
        <v>0</v>
      </c>
      <c r="W121" s="308">
        <v>49</v>
      </c>
      <c r="X121" s="307">
        <v>0</v>
      </c>
      <c r="Y121" s="308">
        <v>49</v>
      </c>
      <c r="Z121" s="306">
        <v>9124</v>
      </c>
      <c r="AA121" s="307">
        <v>0</v>
      </c>
      <c r="AB121" s="308">
        <v>45</v>
      </c>
      <c r="AC121" s="307">
        <v>0</v>
      </c>
      <c r="AD121" s="308">
        <v>45</v>
      </c>
      <c r="AE121" s="306">
        <v>9124</v>
      </c>
    </row>
    <row r="122" spans="2:31" ht="12.75">
      <c r="B122" s="292"/>
      <c r="C122" s="294"/>
      <c r="D122" s="294"/>
      <c r="E122" s="294"/>
      <c r="F122" s="311"/>
      <c r="G122" s="312"/>
      <c r="H122" s="313"/>
      <c r="I122" s="312"/>
      <c r="J122" s="314"/>
      <c r="K122" s="311"/>
      <c r="L122" s="312"/>
      <c r="M122" s="313"/>
      <c r="N122" s="312"/>
      <c r="O122" s="314"/>
      <c r="P122" s="311"/>
      <c r="Q122" s="312"/>
      <c r="R122" s="313"/>
      <c r="S122" s="312"/>
      <c r="T122" s="314"/>
      <c r="U122" s="315"/>
      <c r="V122" s="312"/>
      <c r="W122" s="313"/>
      <c r="X122" s="312"/>
      <c r="Y122" s="313"/>
      <c r="Z122" s="311"/>
      <c r="AA122" s="312"/>
      <c r="AB122" s="313"/>
      <c r="AC122" s="312"/>
      <c r="AD122" s="313"/>
      <c r="AE122" s="311"/>
    </row>
    <row r="123" spans="2:31" ht="12.75">
      <c r="B123" s="292"/>
      <c r="C123" s="294"/>
      <c r="D123" s="299" t="s">
        <v>390</v>
      </c>
      <c r="E123" s="294"/>
      <c r="F123" s="311"/>
      <c r="G123" s="312"/>
      <c r="H123" s="313"/>
      <c r="I123" s="312"/>
      <c r="J123" s="314"/>
      <c r="K123" s="311"/>
      <c r="L123" s="312"/>
      <c r="M123" s="313"/>
      <c r="N123" s="312"/>
      <c r="O123" s="314"/>
      <c r="P123" s="311"/>
      <c r="Q123" s="312"/>
      <c r="R123" s="313"/>
      <c r="S123" s="312"/>
      <c r="T123" s="314"/>
      <c r="U123" s="315"/>
      <c r="V123" s="312"/>
      <c r="W123" s="313"/>
      <c r="X123" s="312"/>
      <c r="Y123" s="313"/>
      <c r="Z123" s="311"/>
      <c r="AA123" s="312"/>
      <c r="AB123" s="313"/>
      <c r="AC123" s="312"/>
      <c r="AD123" s="313"/>
      <c r="AE123" s="311"/>
    </row>
    <row r="124" spans="2:31" ht="12.75">
      <c r="B124" s="292"/>
      <c r="C124" s="294"/>
      <c r="D124" s="294"/>
      <c r="E124" s="294" t="s">
        <v>316</v>
      </c>
      <c r="F124" s="306">
        <v>34</v>
      </c>
      <c r="G124" s="307">
        <v>0</v>
      </c>
      <c r="H124" s="308">
        <v>0</v>
      </c>
      <c r="I124" s="307">
        <v>0</v>
      </c>
      <c r="J124" s="310">
        <v>0</v>
      </c>
      <c r="K124" s="306">
        <v>34</v>
      </c>
      <c r="L124" s="307">
        <v>0</v>
      </c>
      <c r="M124" s="308">
        <v>0</v>
      </c>
      <c r="N124" s="307">
        <v>1</v>
      </c>
      <c r="O124" s="310">
        <v>0</v>
      </c>
      <c r="P124" s="306">
        <v>35</v>
      </c>
      <c r="Q124" s="307">
        <v>0</v>
      </c>
      <c r="R124" s="308">
        <v>0</v>
      </c>
      <c r="S124" s="307">
        <v>0</v>
      </c>
      <c r="T124" s="310">
        <v>0</v>
      </c>
      <c r="U124" s="309">
        <v>35</v>
      </c>
      <c r="V124" s="307">
        <v>0</v>
      </c>
      <c r="W124" s="308">
        <v>0</v>
      </c>
      <c r="X124" s="307">
        <v>7</v>
      </c>
      <c r="Y124" s="308">
        <v>0</v>
      </c>
      <c r="Z124" s="306">
        <v>42</v>
      </c>
      <c r="AA124" s="307">
        <v>0</v>
      </c>
      <c r="AB124" s="308">
        <v>0</v>
      </c>
      <c r="AC124" s="307">
        <v>0</v>
      </c>
      <c r="AD124" s="308">
        <v>0</v>
      </c>
      <c r="AE124" s="306">
        <v>42</v>
      </c>
    </row>
    <row r="125" spans="2:31" ht="12.75">
      <c r="B125" s="292"/>
      <c r="C125" s="294"/>
      <c r="D125" s="294"/>
      <c r="E125" s="294" t="s">
        <v>453</v>
      </c>
      <c r="F125" s="306">
        <v>164</v>
      </c>
      <c r="G125" s="307">
        <v>0</v>
      </c>
      <c r="H125" s="308">
        <v>0</v>
      </c>
      <c r="I125" s="307">
        <v>0</v>
      </c>
      <c r="J125" s="310">
        <v>0</v>
      </c>
      <c r="K125" s="306">
        <v>164</v>
      </c>
      <c r="L125" s="307">
        <v>0</v>
      </c>
      <c r="M125" s="308">
        <v>0</v>
      </c>
      <c r="N125" s="307">
        <v>0</v>
      </c>
      <c r="O125" s="310">
        <v>0</v>
      </c>
      <c r="P125" s="306">
        <v>164</v>
      </c>
      <c r="Q125" s="307">
        <v>0</v>
      </c>
      <c r="R125" s="308">
        <v>0</v>
      </c>
      <c r="S125" s="307">
        <v>0</v>
      </c>
      <c r="T125" s="310">
        <v>0</v>
      </c>
      <c r="U125" s="309">
        <v>164</v>
      </c>
      <c r="V125" s="307">
        <v>0</v>
      </c>
      <c r="W125" s="308">
        <v>0</v>
      </c>
      <c r="X125" s="307">
        <v>0</v>
      </c>
      <c r="Y125" s="308">
        <v>0</v>
      </c>
      <c r="Z125" s="306">
        <v>164</v>
      </c>
      <c r="AA125" s="307">
        <v>0</v>
      </c>
      <c r="AB125" s="308">
        <v>0</v>
      </c>
      <c r="AC125" s="307">
        <v>0</v>
      </c>
      <c r="AD125" s="308">
        <v>0</v>
      </c>
      <c r="AE125" s="306">
        <v>164</v>
      </c>
    </row>
    <row r="126" spans="2:31" ht="12.75">
      <c r="B126" s="292"/>
      <c r="C126" s="294"/>
      <c r="D126" s="294"/>
      <c r="E126" s="294" t="s">
        <v>420</v>
      </c>
      <c r="F126" s="306">
        <v>0</v>
      </c>
      <c r="G126" s="307">
        <v>0</v>
      </c>
      <c r="H126" s="308">
        <v>0</v>
      </c>
      <c r="I126" s="307">
        <v>0</v>
      </c>
      <c r="J126" s="310">
        <v>0</v>
      </c>
      <c r="K126" s="306">
        <v>0</v>
      </c>
      <c r="L126" s="307">
        <v>0</v>
      </c>
      <c r="M126" s="308">
        <v>0</v>
      </c>
      <c r="N126" s="307">
        <v>0</v>
      </c>
      <c r="O126" s="310">
        <v>0</v>
      </c>
      <c r="P126" s="306">
        <v>0</v>
      </c>
      <c r="Q126" s="307">
        <v>0</v>
      </c>
      <c r="R126" s="308">
        <v>0</v>
      </c>
      <c r="S126" s="307">
        <v>0</v>
      </c>
      <c r="T126" s="310">
        <v>0</v>
      </c>
      <c r="U126" s="309">
        <v>0</v>
      </c>
      <c r="V126" s="307">
        <v>0</v>
      </c>
      <c r="W126" s="308">
        <v>0</v>
      </c>
      <c r="X126" s="307">
        <v>0</v>
      </c>
      <c r="Y126" s="308">
        <v>0</v>
      </c>
      <c r="Z126" s="306">
        <v>0</v>
      </c>
      <c r="AA126" s="307">
        <v>0</v>
      </c>
      <c r="AB126" s="308">
        <v>0</v>
      </c>
      <c r="AC126" s="307">
        <v>0</v>
      </c>
      <c r="AD126" s="308">
        <v>0</v>
      </c>
      <c r="AE126" s="306">
        <v>0</v>
      </c>
    </row>
    <row r="127" spans="2:31" ht="12.75">
      <c r="B127" s="292"/>
      <c r="C127" s="294"/>
      <c r="D127" s="294"/>
      <c r="E127" s="294"/>
      <c r="F127" s="311"/>
      <c r="G127" s="312"/>
      <c r="H127" s="313"/>
      <c r="I127" s="312"/>
      <c r="J127" s="314"/>
      <c r="K127" s="311"/>
      <c r="L127" s="312"/>
      <c r="M127" s="313"/>
      <c r="N127" s="312"/>
      <c r="O127" s="314"/>
      <c r="P127" s="311"/>
      <c r="Q127" s="312"/>
      <c r="R127" s="313"/>
      <c r="S127" s="312"/>
      <c r="T127" s="314"/>
      <c r="U127" s="315"/>
      <c r="V127" s="312"/>
      <c r="W127" s="313"/>
      <c r="X127" s="312"/>
      <c r="Y127" s="313"/>
      <c r="Z127" s="311"/>
      <c r="AA127" s="312"/>
      <c r="AB127" s="313"/>
      <c r="AC127" s="312"/>
      <c r="AD127" s="313"/>
      <c r="AE127" s="311"/>
    </row>
    <row r="128" spans="2:31" ht="12.75">
      <c r="B128" s="292"/>
      <c r="C128" s="294"/>
      <c r="D128" s="299" t="s">
        <v>682</v>
      </c>
      <c r="E128" s="294"/>
      <c r="F128" s="311"/>
      <c r="G128" s="312"/>
      <c r="H128" s="313"/>
      <c r="I128" s="312"/>
      <c r="J128" s="314"/>
      <c r="K128" s="311"/>
      <c r="L128" s="312"/>
      <c r="M128" s="313"/>
      <c r="N128" s="312"/>
      <c r="O128" s="314"/>
      <c r="P128" s="311"/>
      <c r="Q128" s="312"/>
      <c r="R128" s="313"/>
      <c r="S128" s="312"/>
      <c r="T128" s="314"/>
      <c r="U128" s="315"/>
      <c r="V128" s="312"/>
      <c r="W128" s="313"/>
      <c r="X128" s="312"/>
      <c r="Y128" s="313"/>
      <c r="Z128" s="311"/>
      <c r="AA128" s="312"/>
      <c r="AB128" s="313"/>
      <c r="AC128" s="312"/>
      <c r="AD128" s="313"/>
      <c r="AE128" s="311"/>
    </row>
    <row r="129" spans="2:31" ht="12.75">
      <c r="B129" s="292"/>
      <c r="C129" s="294"/>
      <c r="D129" s="294"/>
      <c r="E129" s="324" t="s">
        <v>421</v>
      </c>
      <c r="F129" s="306">
        <v>0</v>
      </c>
      <c r="G129" s="307">
        <v>0</v>
      </c>
      <c r="H129" s="308">
        <v>0</v>
      </c>
      <c r="I129" s="307">
        <v>0</v>
      </c>
      <c r="J129" s="310">
        <v>0</v>
      </c>
      <c r="K129" s="306">
        <v>0</v>
      </c>
      <c r="L129" s="307">
        <v>0</v>
      </c>
      <c r="M129" s="308">
        <v>0</v>
      </c>
      <c r="N129" s="307">
        <v>0</v>
      </c>
      <c r="O129" s="310">
        <v>0</v>
      </c>
      <c r="P129" s="306">
        <v>0</v>
      </c>
      <c r="Q129" s="307">
        <v>0</v>
      </c>
      <c r="R129" s="308">
        <v>0</v>
      </c>
      <c r="S129" s="307">
        <v>0</v>
      </c>
      <c r="T129" s="310">
        <v>0</v>
      </c>
      <c r="U129" s="309">
        <v>0</v>
      </c>
      <c r="V129" s="307">
        <v>0</v>
      </c>
      <c r="W129" s="308">
        <v>0</v>
      </c>
      <c r="X129" s="307">
        <v>0</v>
      </c>
      <c r="Y129" s="308">
        <v>0</v>
      </c>
      <c r="Z129" s="306">
        <v>0</v>
      </c>
      <c r="AA129" s="307">
        <v>0</v>
      </c>
      <c r="AB129" s="308">
        <v>0</v>
      </c>
      <c r="AC129" s="307">
        <v>0</v>
      </c>
      <c r="AD129" s="308">
        <v>0</v>
      </c>
      <c r="AE129" s="306">
        <v>0</v>
      </c>
    </row>
    <row r="130" spans="2:31" ht="12.75">
      <c r="B130" s="292"/>
      <c r="C130" s="294"/>
      <c r="D130" s="294"/>
      <c r="E130" s="294"/>
      <c r="F130" s="311"/>
      <c r="G130" s="312"/>
      <c r="H130" s="313"/>
      <c r="I130" s="312"/>
      <c r="J130" s="314"/>
      <c r="K130" s="311"/>
      <c r="L130" s="312"/>
      <c r="M130" s="313"/>
      <c r="N130" s="312"/>
      <c r="O130" s="314"/>
      <c r="P130" s="311"/>
      <c r="Q130" s="312"/>
      <c r="R130" s="313"/>
      <c r="S130" s="312"/>
      <c r="T130" s="314"/>
      <c r="U130" s="315"/>
      <c r="V130" s="312"/>
      <c r="W130" s="313"/>
      <c r="X130" s="312"/>
      <c r="Y130" s="313"/>
      <c r="Z130" s="311"/>
      <c r="AA130" s="312"/>
      <c r="AB130" s="313"/>
      <c r="AC130" s="312"/>
      <c r="AD130" s="313"/>
      <c r="AE130" s="311"/>
    </row>
    <row r="131" spans="2:31" ht="12.75">
      <c r="B131" s="292"/>
      <c r="C131" s="294"/>
      <c r="D131" s="299" t="s">
        <v>216</v>
      </c>
      <c r="E131" s="294"/>
      <c r="F131" s="311"/>
      <c r="G131" s="312"/>
      <c r="H131" s="313"/>
      <c r="I131" s="312"/>
      <c r="J131" s="314"/>
      <c r="K131" s="311"/>
      <c r="L131" s="312"/>
      <c r="M131" s="313"/>
      <c r="N131" s="312"/>
      <c r="O131" s="314"/>
      <c r="P131" s="311"/>
      <c r="Q131" s="312"/>
      <c r="R131" s="313"/>
      <c r="S131" s="312"/>
      <c r="T131" s="314"/>
      <c r="U131" s="315"/>
      <c r="V131" s="312"/>
      <c r="W131" s="313"/>
      <c r="X131" s="312"/>
      <c r="Y131" s="313"/>
      <c r="Z131" s="311"/>
      <c r="AA131" s="312"/>
      <c r="AB131" s="313"/>
      <c r="AC131" s="312"/>
      <c r="AD131" s="313"/>
      <c r="AE131" s="311"/>
    </row>
    <row r="132" spans="2:31" ht="12.75">
      <c r="B132" s="292"/>
      <c r="C132" s="294"/>
      <c r="D132" s="294"/>
      <c r="E132" s="294" t="s">
        <v>402</v>
      </c>
      <c r="F132" s="306">
        <v>264</v>
      </c>
      <c r="G132" s="307">
        <v>44</v>
      </c>
      <c r="H132" s="308">
        <v>0</v>
      </c>
      <c r="I132" s="307">
        <v>4</v>
      </c>
      <c r="J132" s="310">
        <v>0</v>
      </c>
      <c r="K132" s="306">
        <v>224</v>
      </c>
      <c r="L132" s="307">
        <v>0</v>
      </c>
      <c r="M132" s="308">
        <v>0</v>
      </c>
      <c r="N132" s="307">
        <v>12</v>
      </c>
      <c r="O132" s="310">
        <v>0</v>
      </c>
      <c r="P132" s="306">
        <v>236</v>
      </c>
      <c r="Q132" s="307">
        <v>0</v>
      </c>
      <c r="R132" s="308">
        <v>3</v>
      </c>
      <c r="S132" s="307">
        <v>0</v>
      </c>
      <c r="T132" s="310">
        <v>12</v>
      </c>
      <c r="U132" s="309">
        <v>245</v>
      </c>
      <c r="V132" s="307">
        <v>0</v>
      </c>
      <c r="W132" s="308">
        <v>0</v>
      </c>
      <c r="X132" s="307">
        <v>0</v>
      </c>
      <c r="Y132" s="308">
        <v>0</v>
      </c>
      <c r="Z132" s="306">
        <v>245</v>
      </c>
      <c r="AA132" s="307">
        <v>0</v>
      </c>
      <c r="AB132" s="308">
        <v>10</v>
      </c>
      <c r="AC132" s="307">
        <v>0</v>
      </c>
      <c r="AD132" s="308">
        <v>10</v>
      </c>
      <c r="AE132" s="306">
        <v>245</v>
      </c>
    </row>
    <row r="133" spans="2:31" ht="12.75">
      <c r="B133" s="292"/>
      <c r="C133" s="294"/>
      <c r="D133" s="294"/>
      <c r="E133" s="294" t="s">
        <v>403</v>
      </c>
      <c r="F133" s="306">
        <v>1618</v>
      </c>
      <c r="G133" s="307">
        <v>0</v>
      </c>
      <c r="H133" s="308">
        <v>0</v>
      </c>
      <c r="I133" s="307">
        <v>0</v>
      </c>
      <c r="J133" s="310">
        <v>0</v>
      </c>
      <c r="K133" s="306">
        <v>1618</v>
      </c>
      <c r="L133" s="307">
        <v>0</v>
      </c>
      <c r="M133" s="308">
        <v>0</v>
      </c>
      <c r="N133" s="307">
        <v>0</v>
      </c>
      <c r="O133" s="310">
        <v>0</v>
      </c>
      <c r="P133" s="306">
        <v>1618</v>
      </c>
      <c r="Q133" s="307">
        <v>0</v>
      </c>
      <c r="R133" s="308">
        <v>36</v>
      </c>
      <c r="S133" s="307">
        <v>0</v>
      </c>
      <c r="T133" s="310">
        <v>80</v>
      </c>
      <c r="U133" s="309">
        <v>1662</v>
      </c>
      <c r="V133" s="307">
        <v>0</v>
      </c>
      <c r="W133" s="308">
        <v>0</v>
      </c>
      <c r="X133" s="307">
        <v>0</v>
      </c>
      <c r="Y133" s="308">
        <v>0</v>
      </c>
      <c r="Z133" s="306">
        <v>1662</v>
      </c>
      <c r="AA133" s="307">
        <v>0</v>
      </c>
      <c r="AB133" s="308">
        <v>0</v>
      </c>
      <c r="AC133" s="307">
        <v>0</v>
      </c>
      <c r="AD133" s="308">
        <v>0</v>
      </c>
      <c r="AE133" s="306">
        <v>1662</v>
      </c>
    </row>
    <row r="134" spans="2:31" ht="12.75">
      <c r="B134" s="292"/>
      <c r="C134" s="294"/>
      <c r="D134" s="294"/>
      <c r="E134" s="294"/>
      <c r="F134" s="311"/>
      <c r="G134" s="312"/>
      <c r="H134" s="313"/>
      <c r="I134" s="312"/>
      <c r="J134" s="314"/>
      <c r="K134" s="311"/>
      <c r="L134" s="312"/>
      <c r="M134" s="313"/>
      <c r="N134" s="312"/>
      <c r="O134" s="314"/>
      <c r="P134" s="311"/>
      <c r="Q134" s="312"/>
      <c r="R134" s="313"/>
      <c r="S134" s="312"/>
      <c r="T134" s="314"/>
      <c r="U134" s="315"/>
      <c r="V134" s="312"/>
      <c r="W134" s="313"/>
      <c r="X134" s="312"/>
      <c r="Y134" s="313"/>
      <c r="Z134" s="311"/>
      <c r="AA134" s="312"/>
      <c r="AB134" s="313"/>
      <c r="AC134" s="312"/>
      <c r="AD134" s="313"/>
      <c r="AE134" s="311"/>
    </row>
    <row r="135" spans="2:31" ht="12.75">
      <c r="B135" s="292"/>
      <c r="C135" s="294"/>
      <c r="D135" s="299" t="s">
        <v>376</v>
      </c>
      <c r="E135" s="294"/>
      <c r="F135" s="311"/>
      <c r="G135" s="312"/>
      <c r="H135" s="313"/>
      <c r="I135" s="312"/>
      <c r="J135" s="314"/>
      <c r="K135" s="311"/>
      <c r="L135" s="312"/>
      <c r="M135" s="313"/>
      <c r="N135" s="312"/>
      <c r="O135" s="314"/>
      <c r="P135" s="311"/>
      <c r="Q135" s="312"/>
      <c r="R135" s="313"/>
      <c r="S135" s="312"/>
      <c r="T135" s="314"/>
      <c r="U135" s="315"/>
      <c r="V135" s="312"/>
      <c r="W135" s="313"/>
      <c r="X135" s="312"/>
      <c r="Y135" s="313"/>
      <c r="Z135" s="311"/>
      <c r="AA135" s="312"/>
      <c r="AB135" s="313"/>
      <c r="AC135" s="312"/>
      <c r="AD135" s="313"/>
      <c r="AE135" s="311"/>
    </row>
    <row r="136" spans="2:31" ht="12.75">
      <c r="B136" s="292"/>
      <c r="C136" s="294"/>
      <c r="D136" s="294"/>
      <c r="E136" s="324" t="s">
        <v>404</v>
      </c>
      <c r="F136" s="306">
        <v>189</v>
      </c>
      <c r="G136" s="307">
        <v>0</v>
      </c>
      <c r="H136" s="308">
        <v>0</v>
      </c>
      <c r="I136" s="307">
        <v>2</v>
      </c>
      <c r="J136" s="310">
        <v>0</v>
      </c>
      <c r="K136" s="306">
        <v>191</v>
      </c>
      <c r="L136" s="307">
        <v>1</v>
      </c>
      <c r="M136" s="308">
        <v>0</v>
      </c>
      <c r="N136" s="307">
        <v>0</v>
      </c>
      <c r="O136" s="310">
        <v>0</v>
      </c>
      <c r="P136" s="306">
        <v>190</v>
      </c>
      <c r="Q136" s="307">
        <v>9</v>
      </c>
      <c r="R136" s="308">
        <v>0</v>
      </c>
      <c r="S136" s="307">
        <v>7</v>
      </c>
      <c r="T136" s="310">
        <v>0</v>
      </c>
      <c r="U136" s="309">
        <v>188</v>
      </c>
      <c r="V136" s="307">
        <v>4</v>
      </c>
      <c r="W136" s="308">
        <v>0</v>
      </c>
      <c r="X136" s="307">
        <v>7</v>
      </c>
      <c r="Y136" s="308">
        <v>0</v>
      </c>
      <c r="Z136" s="306">
        <v>191</v>
      </c>
      <c r="AA136" s="307">
        <v>0</v>
      </c>
      <c r="AB136" s="308">
        <v>2</v>
      </c>
      <c r="AC136" s="307">
        <v>0</v>
      </c>
      <c r="AD136" s="308">
        <v>2</v>
      </c>
      <c r="AE136" s="306">
        <v>191</v>
      </c>
    </row>
    <row r="137" spans="2:31" ht="12.75">
      <c r="B137" s="292"/>
      <c r="C137" s="294"/>
      <c r="D137" s="294"/>
      <c r="E137" s="324" t="s">
        <v>405</v>
      </c>
      <c r="F137" s="306">
        <v>327</v>
      </c>
      <c r="G137" s="307">
        <v>0</v>
      </c>
      <c r="H137" s="308">
        <v>0</v>
      </c>
      <c r="I137" s="307">
        <v>0</v>
      </c>
      <c r="J137" s="310">
        <v>0</v>
      </c>
      <c r="K137" s="306">
        <v>327</v>
      </c>
      <c r="L137" s="307">
        <v>0</v>
      </c>
      <c r="M137" s="308">
        <v>0</v>
      </c>
      <c r="N137" s="307">
        <v>0</v>
      </c>
      <c r="O137" s="310">
        <v>0</v>
      </c>
      <c r="P137" s="306">
        <v>327</v>
      </c>
      <c r="Q137" s="307">
        <v>0</v>
      </c>
      <c r="R137" s="308">
        <v>8</v>
      </c>
      <c r="S137" s="307">
        <v>0</v>
      </c>
      <c r="T137" s="310">
        <v>17</v>
      </c>
      <c r="U137" s="309">
        <v>336</v>
      </c>
      <c r="V137" s="307">
        <v>2</v>
      </c>
      <c r="W137" s="308">
        <v>0</v>
      </c>
      <c r="X137" s="307">
        <v>2</v>
      </c>
      <c r="Y137" s="308">
        <v>0</v>
      </c>
      <c r="Z137" s="306">
        <v>336</v>
      </c>
      <c r="AA137" s="307">
        <v>0</v>
      </c>
      <c r="AB137" s="308">
        <v>0</v>
      </c>
      <c r="AC137" s="307">
        <v>0</v>
      </c>
      <c r="AD137" s="308">
        <v>0</v>
      </c>
      <c r="AE137" s="306">
        <v>336</v>
      </c>
    </row>
    <row r="138" spans="2:31" ht="13.5" thickBot="1">
      <c r="B138" s="290"/>
      <c r="C138" s="291"/>
      <c r="D138" s="291"/>
      <c r="E138" s="291"/>
      <c r="F138" s="316"/>
      <c r="G138" s="317"/>
      <c r="H138" s="318"/>
      <c r="I138" s="317"/>
      <c r="J138" s="319"/>
      <c r="K138" s="320"/>
      <c r="L138" s="317"/>
      <c r="M138" s="318"/>
      <c r="N138" s="317"/>
      <c r="O138" s="319"/>
      <c r="P138" s="320"/>
      <c r="Q138" s="317"/>
      <c r="R138" s="318"/>
      <c r="S138" s="317"/>
      <c r="T138" s="319"/>
      <c r="U138" s="321"/>
      <c r="V138" s="317"/>
      <c r="W138" s="318"/>
      <c r="X138" s="317"/>
      <c r="Y138" s="318"/>
      <c r="Z138" s="320"/>
      <c r="AA138" s="317"/>
      <c r="AB138" s="318"/>
      <c r="AC138" s="317"/>
      <c r="AD138" s="318"/>
      <c r="AE138" s="320"/>
    </row>
    <row r="139" spans="2:31" ht="12.75">
      <c r="B139" s="322"/>
      <c r="C139" s="323" t="s">
        <v>278</v>
      </c>
      <c r="D139" s="323"/>
      <c r="E139" s="324"/>
      <c r="F139" s="311"/>
      <c r="G139" s="312"/>
      <c r="H139" s="313"/>
      <c r="I139" s="312"/>
      <c r="J139" s="314"/>
      <c r="K139" s="311"/>
      <c r="L139" s="312"/>
      <c r="M139" s="313"/>
      <c r="N139" s="312"/>
      <c r="O139" s="314"/>
      <c r="P139" s="311"/>
      <c r="Q139" s="312"/>
      <c r="R139" s="313"/>
      <c r="S139" s="312"/>
      <c r="T139" s="314"/>
      <c r="U139" s="315"/>
      <c r="V139" s="312"/>
      <c r="W139" s="313"/>
      <c r="X139" s="312"/>
      <c r="Y139" s="313"/>
      <c r="Z139" s="311"/>
      <c r="AA139" s="312"/>
      <c r="AB139" s="313"/>
      <c r="AC139" s="312"/>
      <c r="AD139" s="313"/>
      <c r="AE139" s="311"/>
    </row>
    <row r="140" spans="2:31" ht="12.75">
      <c r="B140" s="292"/>
      <c r="C140" s="294"/>
      <c r="D140" s="299" t="s">
        <v>279</v>
      </c>
      <c r="E140" s="294"/>
      <c r="F140" s="311"/>
      <c r="G140" s="312"/>
      <c r="H140" s="313"/>
      <c r="I140" s="312"/>
      <c r="J140" s="314"/>
      <c r="K140" s="311"/>
      <c r="L140" s="312"/>
      <c r="M140" s="313"/>
      <c r="N140" s="312"/>
      <c r="O140" s="314"/>
      <c r="P140" s="311"/>
      <c r="Q140" s="312"/>
      <c r="R140" s="313"/>
      <c r="S140" s="312"/>
      <c r="T140" s="314"/>
      <c r="U140" s="315"/>
      <c r="V140" s="312"/>
      <c r="W140" s="313"/>
      <c r="X140" s="312"/>
      <c r="Y140" s="313"/>
      <c r="Z140" s="311"/>
      <c r="AA140" s="312"/>
      <c r="AB140" s="313"/>
      <c r="AC140" s="312"/>
      <c r="AD140" s="313"/>
      <c r="AE140" s="311"/>
    </row>
    <row r="141" spans="2:31" ht="12.75">
      <c r="B141" s="292"/>
      <c r="C141" s="294"/>
      <c r="D141" s="294"/>
      <c r="E141" s="324" t="s">
        <v>280</v>
      </c>
      <c r="F141" s="306">
        <v>0</v>
      </c>
      <c r="G141" s="307">
        <v>0</v>
      </c>
      <c r="H141" s="308">
        <v>0</v>
      </c>
      <c r="I141" s="307">
        <v>0</v>
      </c>
      <c r="J141" s="310">
        <v>0</v>
      </c>
      <c r="K141" s="306">
        <v>0</v>
      </c>
      <c r="L141" s="307">
        <v>0</v>
      </c>
      <c r="M141" s="308">
        <v>0</v>
      </c>
      <c r="N141" s="307">
        <v>0</v>
      </c>
      <c r="O141" s="310">
        <v>0</v>
      </c>
      <c r="P141" s="306">
        <v>0</v>
      </c>
      <c r="Q141" s="307">
        <v>0</v>
      </c>
      <c r="R141" s="308">
        <v>0</v>
      </c>
      <c r="S141" s="307">
        <v>0</v>
      </c>
      <c r="T141" s="310">
        <v>2</v>
      </c>
      <c r="U141" s="309">
        <v>2</v>
      </c>
      <c r="V141" s="307">
        <v>0</v>
      </c>
      <c r="W141" s="308">
        <v>0</v>
      </c>
      <c r="X141" s="307">
        <v>0</v>
      </c>
      <c r="Y141" s="308">
        <v>0</v>
      </c>
      <c r="Z141" s="306">
        <v>2</v>
      </c>
      <c r="AA141" s="307">
        <v>0</v>
      </c>
      <c r="AB141" s="308">
        <v>0</v>
      </c>
      <c r="AC141" s="307">
        <v>0</v>
      </c>
      <c r="AD141" s="308">
        <v>0</v>
      </c>
      <c r="AE141" s="306">
        <v>2</v>
      </c>
    </row>
    <row r="142" spans="2:31" ht="12.75">
      <c r="B142" s="292"/>
      <c r="C142" s="294"/>
      <c r="D142" s="294"/>
      <c r="E142" s="324" t="s">
        <v>801</v>
      </c>
      <c r="F142" s="306">
        <v>462</v>
      </c>
      <c r="G142" s="307">
        <v>0</v>
      </c>
      <c r="H142" s="308">
        <v>0</v>
      </c>
      <c r="I142" s="307">
        <v>0</v>
      </c>
      <c r="J142" s="310">
        <v>0</v>
      </c>
      <c r="K142" s="306">
        <v>462</v>
      </c>
      <c r="L142" s="307">
        <v>0</v>
      </c>
      <c r="M142" s="308">
        <v>0</v>
      </c>
      <c r="N142" s="307">
        <v>0</v>
      </c>
      <c r="O142" s="310">
        <v>5</v>
      </c>
      <c r="P142" s="306">
        <v>467</v>
      </c>
      <c r="Q142" s="307">
        <v>0</v>
      </c>
      <c r="R142" s="308">
        <v>0</v>
      </c>
      <c r="S142" s="307">
        <v>0</v>
      </c>
      <c r="T142" s="310">
        <v>17</v>
      </c>
      <c r="U142" s="309">
        <v>484</v>
      </c>
      <c r="V142" s="307">
        <v>0</v>
      </c>
      <c r="W142" s="308">
        <v>0</v>
      </c>
      <c r="X142" s="307">
        <v>0</v>
      </c>
      <c r="Y142" s="308">
        <v>0</v>
      </c>
      <c r="Z142" s="306">
        <v>484</v>
      </c>
      <c r="AA142" s="307">
        <v>0</v>
      </c>
      <c r="AB142" s="308">
        <v>0</v>
      </c>
      <c r="AC142" s="307">
        <v>0</v>
      </c>
      <c r="AD142" s="308">
        <v>0</v>
      </c>
      <c r="AE142" s="306">
        <v>484</v>
      </c>
    </row>
    <row r="143" spans="2:31" ht="12.75">
      <c r="B143" s="292"/>
      <c r="C143" s="324"/>
      <c r="D143" s="299"/>
      <c r="E143" s="294"/>
      <c r="F143" s="311"/>
      <c r="G143" s="312"/>
      <c r="H143" s="313"/>
      <c r="I143" s="312"/>
      <c r="J143" s="314"/>
      <c r="K143" s="311"/>
      <c r="L143" s="312"/>
      <c r="M143" s="313"/>
      <c r="N143" s="312"/>
      <c r="O143" s="314"/>
      <c r="P143" s="311"/>
      <c r="Q143" s="312"/>
      <c r="R143" s="313"/>
      <c r="S143" s="312"/>
      <c r="T143" s="314"/>
      <c r="U143" s="315"/>
      <c r="V143" s="312"/>
      <c r="W143" s="313"/>
      <c r="X143" s="312"/>
      <c r="Y143" s="313"/>
      <c r="Z143" s="311"/>
      <c r="AA143" s="312"/>
      <c r="AB143" s="313"/>
      <c r="AC143" s="312"/>
      <c r="AD143" s="313"/>
      <c r="AE143" s="311"/>
    </row>
    <row r="144" spans="2:31" ht="12.75">
      <c r="B144" s="292"/>
      <c r="C144" s="294"/>
      <c r="D144" s="299" t="s">
        <v>802</v>
      </c>
      <c r="E144" s="294"/>
      <c r="F144" s="311"/>
      <c r="G144" s="312"/>
      <c r="H144" s="313"/>
      <c r="I144" s="312"/>
      <c r="J144" s="314"/>
      <c r="K144" s="311"/>
      <c r="L144" s="312"/>
      <c r="M144" s="313"/>
      <c r="N144" s="312"/>
      <c r="O144" s="314"/>
      <c r="P144" s="311"/>
      <c r="Q144" s="312"/>
      <c r="R144" s="313"/>
      <c r="S144" s="312"/>
      <c r="T144" s="314"/>
      <c r="U144" s="315"/>
      <c r="V144" s="312"/>
      <c r="W144" s="313"/>
      <c r="X144" s="312"/>
      <c r="Y144" s="313"/>
      <c r="Z144" s="311"/>
      <c r="AA144" s="312"/>
      <c r="AB144" s="313"/>
      <c r="AC144" s="312"/>
      <c r="AD144" s="313"/>
      <c r="AE144" s="311"/>
    </row>
    <row r="145" spans="2:31" ht="12.75">
      <c r="B145" s="292"/>
      <c r="C145" s="294"/>
      <c r="D145" s="294"/>
      <c r="E145" s="324" t="s">
        <v>282</v>
      </c>
      <c r="F145" s="306">
        <v>829</v>
      </c>
      <c r="G145" s="307">
        <v>0</v>
      </c>
      <c r="H145" s="308">
        <v>0</v>
      </c>
      <c r="I145" s="307">
        <v>0</v>
      </c>
      <c r="J145" s="310">
        <v>0</v>
      </c>
      <c r="K145" s="306">
        <v>829</v>
      </c>
      <c r="L145" s="307">
        <v>0</v>
      </c>
      <c r="M145" s="308">
        <v>0</v>
      </c>
      <c r="N145" s="307">
        <v>0</v>
      </c>
      <c r="O145" s="310">
        <v>335</v>
      </c>
      <c r="P145" s="306">
        <v>1164</v>
      </c>
      <c r="Q145" s="307">
        <v>0</v>
      </c>
      <c r="R145" s="308">
        <v>0</v>
      </c>
      <c r="S145" s="307">
        <v>0</v>
      </c>
      <c r="T145" s="310">
        <v>327</v>
      </c>
      <c r="U145" s="309">
        <v>1491</v>
      </c>
      <c r="V145" s="307">
        <v>0</v>
      </c>
      <c r="W145" s="308">
        <v>0</v>
      </c>
      <c r="X145" s="307">
        <v>0</v>
      </c>
      <c r="Y145" s="308">
        <v>0</v>
      </c>
      <c r="Z145" s="306">
        <v>1491</v>
      </c>
      <c r="AA145" s="307">
        <v>0</v>
      </c>
      <c r="AB145" s="308">
        <v>0</v>
      </c>
      <c r="AC145" s="307">
        <v>0</v>
      </c>
      <c r="AD145" s="308">
        <v>0</v>
      </c>
      <c r="AE145" s="306">
        <v>1491</v>
      </c>
    </row>
    <row r="146" spans="2:31" ht="12.75">
      <c r="B146" s="292"/>
      <c r="C146" s="294"/>
      <c r="D146" s="294"/>
      <c r="E146" s="324" t="s">
        <v>283</v>
      </c>
      <c r="F146" s="306">
        <v>224</v>
      </c>
      <c r="G146" s="307">
        <v>0</v>
      </c>
      <c r="H146" s="308">
        <v>0</v>
      </c>
      <c r="I146" s="307">
        <v>0</v>
      </c>
      <c r="J146" s="310">
        <v>0</v>
      </c>
      <c r="K146" s="306">
        <v>224</v>
      </c>
      <c r="L146" s="307">
        <v>0</v>
      </c>
      <c r="M146" s="308">
        <v>0</v>
      </c>
      <c r="N146" s="307">
        <v>0</v>
      </c>
      <c r="O146" s="310">
        <v>32</v>
      </c>
      <c r="P146" s="306">
        <v>256</v>
      </c>
      <c r="Q146" s="307">
        <v>0</v>
      </c>
      <c r="R146" s="308">
        <v>0</v>
      </c>
      <c r="S146" s="307">
        <v>0</v>
      </c>
      <c r="T146" s="310">
        <v>495</v>
      </c>
      <c r="U146" s="309">
        <v>751</v>
      </c>
      <c r="V146" s="307">
        <v>0</v>
      </c>
      <c r="W146" s="308">
        <v>0</v>
      </c>
      <c r="X146" s="307">
        <v>0</v>
      </c>
      <c r="Y146" s="308">
        <v>0</v>
      </c>
      <c r="Z146" s="306">
        <v>751</v>
      </c>
      <c r="AA146" s="307">
        <v>0</v>
      </c>
      <c r="AB146" s="308">
        <v>0</v>
      </c>
      <c r="AC146" s="307">
        <v>0</v>
      </c>
      <c r="AD146" s="308">
        <v>0</v>
      </c>
      <c r="AE146" s="306">
        <v>751</v>
      </c>
    </row>
    <row r="147" spans="2:31" ht="13.5" thickBot="1">
      <c r="B147" s="290"/>
      <c r="C147" s="291"/>
      <c r="D147" s="291"/>
      <c r="E147" s="291"/>
      <c r="F147" s="316"/>
      <c r="G147" s="317"/>
      <c r="H147" s="318"/>
      <c r="I147" s="317"/>
      <c r="J147" s="319"/>
      <c r="K147" s="320"/>
      <c r="L147" s="317"/>
      <c r="M147" s="318"/>
      <c r="N147" s="317"/>
      <c r="O147" s="319"/>
      <c r="P147" s="320"/>
      <c r="Q147" s="317"/>
      <c r="R147" s="318"/>
      <c r="S147" s="317"/>
      <c r="T147" s="319"/>
      <c r="U147" s="330"/>
      <c r="V147" s="317"/>
      <c r="W147" s="318"/>
      <c r="X147" s="317"/>
      <c r="Y147" s="318"/>
      <c r="Z147" s="320"/>
      <c r="AA147" s="317"/>
      <c r="AB147" s="318"/>
      <c r="AC147" s="317"/>
      <c r="AD147" s="318"/>
      <c r="AE147" s="320"/>
    </row>
  </sheetData>
  <sheetProtection/>
  <mergeCells count="15"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8.8515625" style="0" customWidth="1"/>
    <col min="2" max="2" width="23.421875" style="0" customWidth="1"/>
  </cols>
  <sheetData>
    <row r="1" spans="1:6" ht="12.75">
      <c r="A1" s="862" t="s">
        <v>805</v>
      </c>
      <c r="F1" s="857" t="s">
        <v>55</v>
      </c>
    </row>
    <row r="3" ht="12.75">
      <c r="A3" s="862" t="s">
        <v>561</v>
      </c>
    </row>
    <row r="6" spans="1:20" ht="12.75">
      <c r="A6" s="1051"/>
      <c r="B6" s="1050" t="s">
        <v>562</v>
      </c>
      <c r="C6" s="1147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  <c r="O6" s="1051"/>
      <c r="P6" s="1051"/>
      <c r="Q6" s="1051"/>
      <c r="R6" s="281"/>
      <c r="S6" s="1051"/>
      <c r="T6" s="1051"/>
    </row>
    <row r="7" spans="1:20" ht="13.5" thickBot="1">
      <c r="A7" s="1051"/>
      <c r="B7" s="1051"/>
      <c r="C7" s="1147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281"/>
      <c r="S7" s="1051"/>
      <c r="T7" s="1051"/>
    </row>
    <row r="8" spans="1:20" ht="12.75">
      <c r="A8" s="1051"/>
      <c r="B8" s="1091"/>
      <c r="C8" s="1148"/>
      <c r="D8" s="1068" t="s">
        <v>462</v>
      </c>
      <c r="E8" s="1069"/>
      <c r="F8" s="1069"/>
      <c r="G8" s="1069"/>
      <c r="H8" s="1070"/>
      <c r="I8" s="1069" t="s">
        <v>463</v>
      </c>
      <c r="J8" s="1071"/>
      <c r="K8" s="1071"/>
      <c r="L8" s="1071"/>
      <c r="M8" s="1070"/>
      <c r="N8" s="1051"/>
      <c r="O8" s="1028" t="s">
        <v>462</v>
      </c>
      <c r="P8" s="1029"/>
      <c r="Q8" s="1030"/>
      <c r="R8" s="281"/>
      <c r="S8" s="1028" t="s">
        <v>463</v>
      </c>
      <c r="T8" s="1030"/>
    </row>
    <row r="9" spans="1:20" ht="12.75">
      <c r="A9" s="1051"/>
      <c r="B9" s="1094"/>
      <c r="C9" s="1149" t="s">
        <v>531</v>
      </c>
      <c r="D9" s="1150" t="s">
        <v>532</v>
      </c>
      <c r="E9" s="1151" t="s">
        <v>533</v>
      </c>
      <c r="F9" s="1151" t="s">
        <v>529</v>
      </c>
      <c r="G9" s="1151" t="s">
        <v>534</v>
      </c>
      <c r="H9" s="1152" t="s">
        <v>535</v>
      </c>
      <c r="I9" s="1153" t="s">
        <v>464</v>
      </c>
      <c r="J9" s="1151" t="s">
        <v>750</v>
      </c>
      <c r="K9" s="1151" t="s">
        <v>836</v>
      </c>
      <c r="L9" s="1151" t="s">
        <v>837</v>
      </c>
      <c r="M9" s="1152" t="s">
        <v>838</v>
      </c>
      <c r="N9" s="1051"/>
      <c r="O9" s="1031" t="s">
        <v>490</v>
      </c>
      <c r="P9" s="1032" t="s">
        <v>491</v>
      </c>
      <c r="Q9" s="1033" t="s">
        <v>881</v>
      </c>
      <c r="R9" s="281"/>
      <c r="S9" s="1031" t="s">
        <v>491</v>
      </c>
      <c r="T9" s="1033" t="s">
        <v>625</v>
      </c>
    </row>
    <row r="10" spans="1:20" ht="12.75">
      <c r="A10" s="1051"/>
      <c r="B10" s="1154" t="s">
        <v>906</v>
      </c>
      <c r="C10" s="1155" t="s">
        <v>849</v>
      </c>
      <c r="D10" s="1156">
        <v>54.23058330661577</v>
      </c>
      <c r="E10" s="1157">
        <v>38.837901397590365</v>
      </c>
      <c r="F10" s="1157">
        <v>91.67454950787075</v>
      </c>
      <c r="G10" s="1157">
        <v>60.62619724358974</v>
      </c>
      <c r="H10" s="1158">
        <v>65.6827526639004</v>
      </c>
      <c r="I10" s="1157">
        <v>67.83479853662297</v>
      </c>
      <c r="J10" s="1159">
        <v>68.95687923552123</v>
      </c>
      <c r="K10" s="1159">
        <v>73.55393833627119</v>
      </c>
      <c r="L10" s="1159">
        <v>77.27265410526316</v>
      </c>
      <c r="M10" s="1158">
        <v>81.34822988355342</v>
      </c>
      <c r="N10" s="1051"/>
      <c r="O10" s="1039">
        <v>184.74303421207688</v>
      </c>
      <c r="P10" s="1040">
        <v>126.30894990749015</v>
      </c>
      <c r="Q10" s="1041">
        <v>311.051984119567</v>
      </c>
      <c r="R10" s="281"/>
      <c r="S10" s="1039">
        <v>368.966500097232</v>
      </c>
      <c r="T10" s="1042">
        <v>0.1861891868061606</v>
      </c>
    </row>
    <row r="11" spans="1:20" ht="12.75">
      <c r="A11" s="1051"/>
      <c r="B11" s="1154" t="s">
        <v>907</v>
      </c>
      <c r="C11" s="1155" t="s">
        <v>849</v>
      </c>
      <c r="D11" s="1160">
        <v>47.9</v>
      </c>
      <c r="E11" s="1161">
        <v>34.2</v>
      </c>
      <c r="F11" s="1161">
        <v>74.4</v>
      </c>
      <c r="G11" s="1161">
        <v>47.7</v>
      </c>
      <c r="H11" s="1162">
        <v>49.6</v>
      </c>
      <c r="I11" s="1161">
        <v>50.6</v>
      </c>
      <c r="J11" s="1163">
        <v>53</v>
      </c>
      <c r="K11" s="1163">
        <v>56.9</v>
      </c>
      <c r="L11" s="1163">
        <v>60.2</v>
      </c>
      <c r="M11" s="1162">
        <v>63.6</v>
      </c>
      <c r="N11" s="1051"/>
      <c r="O11" s="1039">
        <v>156.5</v>
      </c>
      <c r="P11" s="1040">
        <v>97.3</v>
      </c>
      <c r="Q11" s="1041">
        <v>253.8</v>
      </c>
      <c r="R11" s="281"/>
      <c r="S11" s="1039">
        <v>284.3</v>
      </c>
      <c r="T11" s="1042">
        <v>0.12017336485421604</v>
      </c>
    </row>
    <row r="12" spans="1:20" ht="12.75">
      <c r="A12" s="1051"/>
      <c r="B12" s="1154" t="s">
        <v>399</v>
      </c>
      <c r="C12" s="1155" t="s">
        <v>849</v>
      </c>
      <c r="D12" s="1099">
        <v>6.330583306615772</v>
      </c>
      <c r="E12" s="1102">
        <v>4.637901397590369</v>
      </c>
      <c r="F12" s="1102">
        <v>17.274549507870745</v>
      </c>
      <c r="G12" s="1102">
        <v>12.92619724358974</v>
      </c>
      <c r="H12" s="1101">
        <v>16.0827526639004</v>
      </c>
      <c r="I12" s="1100">
        <v>17.234798536622975</v>
      </c>
      <c r="J12" s="1102">
        <v>15.956879235521228</v>
      </c>
      <c r="K12" s="1102">
        <v>16.65393833627119</v>
      </c>
      <c r="L12" s="1102">
        <v>17.072654105263155</v>
      </c>
      <c r="M12" s="1101">
        <v>17.748229883553414</v>
      </c>
      <c r="N12" s="1051"/>
      <c r="O12" s="1039">
        <v>28.243034212076886</v>
      </c>
      <c r="P12" s="1040">
        <v>29.00894990749014</v>
      </c>
      <c r="Q12" s="1041">
        <v>57.25198411956703</v>
      </c>
      <c r="R12" s="281"/>
      <c r="S12" s="1039">
        <v>84.66650009723196</v>
      </c>
      <c r="T12" s="1042">
        <v>0.4788395790862289</v>
      </c>
    </row>
    <row r="13" spans="1:20" ht="12.75">
      <c r="A13" s="1051"/>
      <c r="B13" s="1154" t="s">
        <v>909</v>
      </c>
      <c r="C13" s="1155" t="s">
        <v>849</v>
      </c>
      <c r="D13" s="1160">
        <v>12.7</v>
      </c>
      <c r="E13" s="1161">
        <v>16.3</v>
      </c>
      <c r="F13" s="1161">
        <v>7.4</v>
      </c>
      <c r="G13" s="1161">
        <v>2.6</v>
      </c>
      <c r="H13" s="1162">
        <v>4.5</v>
      </c>
      <c r="I13" s="1161">
        <v>5.7</v>
      </c>
      <c r="J13" s="1163">
        <v>5.9</v>
      </c>
      <c r="K13" s="1163">
        <v>6.3</v>
      </c>
      <c r="L13" s="1163">
        <v>6.7</v>
      </c>
      <c r="M13" s="1162">
        <v>7</v>
      </c>
      <c r="N13" s="1051"/>
      <c r="O13" s="1039">
        <v>36.4</v>
      </c>
      <c r="P13" s="1040">
        <v>7.1</v>
      </c>
      <c r="Q13" s="1041">
        <v>43.5</v>
      </c>
      <c r="R13" s="281"/>
      <c r="S13" s="1039">
        <v>31.6</v>
      </c>
      <c r="T13" s="1042">
        <v>-0.27356321839080455</v>
      </c>
    </row>
    <row r="14" spans="1:20" ht="13.5" thickBot="1">
      <c r="A14" s="1051"/>
      <c r="B14" s="1164" t="s">
        <v>240</v>
      </c>
      <c r="C14" s="1165" t="s">
        <v>849</v>
      </c>
      <c r="D14" s="1086">
        <v>-6.369416693384228</v>
      </c>
      <c r="E14" s="1089">
        <v>-11.662098602409632</v>
      </c>
      <c r="F14" s="1089">
        <v>9.874549507870745</v>
      </c>
      <c r="G14" s="1089">
        <v>10.326197243589741</v>
      </c>
      <c r="H14" s="1088">
        <v>11.5827526639004</v>
      </c>
      <c r="I14" s="1087">
        <v>11.534798536622976</v>
      </c>
      <c r="J14" s="1089">
        <v>10.056879235521228</v>
      </c>
      <c r="K14" s="1089">
        <v>10.353938336271188</v>
      </c>
      <c r="L14" s="1089">
        <v>10.372654105263155</v>
      </c>
      <c r="M14" s="1088">
        <v>10.748229883553414</v>
      </c>
      <c r="N14" s="1051"/>
      <c r="O14" s="1043">
        <v>-8.156965787923115</v>
      </c>
      <c r="P14" s="1044">
        <v>21.90894990749014</v>
      </c>
      <c r="Q14" s="1045">
        <v>13.751984119567027</v>
      </c>
      <c r="R14" s="281"/>
      <c r="S14" s="1043">
        <v>53.06650009723196</v>
      </c>
      <c r="T14" s="1046">
        <v>2.858824998330694</v>
      </c>
    </row>
    <row r="15" spans="1:20" ht="12.75">
      <c r="A15" s="1051"/>
      <c r="B15" s="1051"/>
      <c r="C15" s="1147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281"/>
      <c r="S15" s="1051"/>
      <c r="T15" s="1051"/>
    </row>
    <row r="16" spans="1:20" ht="12.75">
      <c r="A16" s="1051"/>
      <c r="B16" s="1050" t="s">
        <v>389</v>
      </c>
      <c r="C16" s="1147"/>
      <c r="D16" s="1166"/>
      <c r="E16" s="1166"/>
      <c r="F16" s="1166"/>
      <c r="G16" s="1166"/>
      <c r="H16" s="1166"/>
      <c r="I16" s="1166"/>
      <c r="J16" s="1166"/>
      <c r="K16" s="1166"/>
      <c r="L16" s="1166"/>
      <c r="M16" s="1166"/>
      <c r="N16" s="1166"/>
      <c r="O16" s="1051"/>
      <c r="P16" s="1051"/>
      <c r="Q16" s="1051"/>
      <c r="R16" s="281"/>
      <c r="S16" s="1166"/>
      <c r="T16" s="1166"/>
    </row>
    <row r="17" spans="1:20" ht="13.5" thickBot="1">
      <c r="A17" s="1051"/>
      <c r="B17" s="1050"/>
      <c r="C17" s="1147"/>
      <c r="D17" s="1166"/>
      <c r="E17" s="1166"/>
      <c r="F17" s="1166"/>
      <c r="G17" s="1166"/>
      <c r="H17" s="1166"/>
      <c r="I17" s="1166"/>
      <c r="J17" s="1166"/>
      <c r="K17" s="1166"/>
      <c r="L17" s="1166"/>
      <c r="M17" s="1166"/>
      <c r="N17" s="281"/>
      <c r="O17" s="281"/>
      <c r="P17" s="281"/>
      <c r="Q17" s="281"/>
      <c r="R17" s="281"/>
      <c r="S17" s="281"/>
      <c r="T17" s="281"/>
    </row>
    <row r="18" spans="1:20" ht="12.75">
      <c r="A18" s="1051"/>
      <c r="B18" s="1091"/>
      <c r="C18" s="1148"/>
      <c r="D18" s="1068" t="s">
        <v>462</v>
      </c>
      <c r="E18" s="1069"/>
      <c r="F18" s="1069"/>
      <c r="G18" s="1069"/>
      <c r="H18" s="1070"/>
      <c r="I18" s="1069" t="s">
        <v>463</v>
      </c>
      <c r="J18" s="1071"/>
      <c r="K18" s="1071"/>
      <c r="L18" s="1071"/>
      <c r="M18" s="1070"/>
      <c r="N18" s="281"/>
      <c r="O18" s="281"/>
      <c r="P18" s="281"/>
      <c r="Q18" s="281"/>
      <c r="R18" s="281"/>
      <c r="S18" s="281"/>
      <c r="T18" s="281"/>
    </row>
    <row r="19" spans="1:20" ht="12.75">
      <c r="A19" s="1051"/>
      <c r="B19" s="1094"/>
      <c r="C19" s="1149" t="s">
        <v>531</v>
      </c>
      <c r="D19" s="1150" t="s">
        <v>532</v>
      </c>
      <c r="E19" s="1151" t="s">
        <v>533</v>
      </c>
      <c r="F19" s="1151" t="s">
        <v>529</v>
      </c>
      <c r="G19" s="1151" t="s">
        <v>534</v>
      </c>
      <c r="H19" s="1152" t="s">
        <v>535</v>
      </c>
      <c r="I19" s="1153" t="s">
        <v>464</v>
      </c>
      <c r="J19" s="1151" t="s">
        <v>750</v>
      </c>
      <c r="K19" s="1151" t="s">
        <v>836</v>
      </c>
      <c r="L19" s="1151" t="s">
        <v>837</v>
      </c>
      <c r="M19" s="1152" t="s">
        <v>838</v>
      </c>
      <c r="N19" s="281"/>
      <c r="O19" s="281"/>
      <c r="P19" s="281"/>
      <c r="Q19" s="281"/>
      <c r="R19" s="281"/>
      <c r="S19" s="281"/>
      <c r="T19" s="281"/>
    </row>
    <row r="20" spans="1:20" ht="12.75">
      <c r="A20" s="1051"/>
      <c r="B20" s="1167"/>
      <c r="C20" s="1168"/>
      <c r="D20" s="1037"/>
      <c r="E20" s="1169"/>
      <c r="F20" s="1169"/>
      <c r="G20" s="1169"/>
      <c r="H20" s="1038"/>
      <c r="I20" s="1169"/>
      <c r="J20" s="1169"/>
      <c r="K20" s="1169"/>
      <c r="L20" s="1169"/>
      <c r="M20" s="1038"/>
      <c r="N20" s="281"/>
      <c r="O20" s="281"/>
      <c r="P20" s="281"/>
      <c r="Q20" s="281"/>
      <c r="R20" s="281"/>
      <c r="S20" s="281"/>
      <c r="T20" s="281"/>
    </row>
    <row r="21" spans="1:20" ht="25.5">
      <c r="A21" s="1051"/>
      <c r="B21" s="1170" t="s">
        <v>257</v>
      </c>
      <c r="C21" s="1155" t="s">
        <v>879</v>
      </c>
      <c r="D21" s="1171">
        <v>5142</v>
      </c>
      <c r="E21" s="1161">
        <v>5071.996981373953</v>
      </c>
      <c r="F21" s="1161">
        <v>5165.039937289448</v>
      </c>
      <c r="G21" s="1161">
        <v>5268.999872906123</v>
      </c>
      <c r="H21" s="1162">
        <v>5307.952969828777</v>
      </c>
      <c r="I21" s="1161">
        <v>5347.014613948764</v>
      </c>
      <c r="J21" s="1163">
        <v>5386.026375844412</v>
      </c>
      <c r="K21" s="1163">
        <v>5424.998044742583</v>
      </c>
      <c r="L21" s="1163">
        <v>5464.047245053574</v>
      </c>
      <c r="M21" s="1162">
        <v>5503.044901736067</v>
      </c>
      <c r="N21" s="281"/>
      <c r="O21" s="281"/>
      <c r="P21" s="281"/>
      <c r="Q21" s="281"/>
      <c r="R21" s="281"/>
      <c r="S21" s="281"/>
      <c r="T21" s="281"/>
    </row>
    <row r="22" spans="1:20" ht="25.5">
      <c r="A22" s="1051"/>
      <c r="B22" s="1170" t="s">
        <v>156</v>
      </c>
      <c r="C22" s="1155" t="s">
        <v>879</v>
      </c>
      <c r="D22" s="1160">
        <v>29.88360892237084</v>
      </c>
      <c r="E22" s="1161">
        <v>-70.00301862604769</v>
      </c>
      <c r="F22" s="1161">
        <v>93.04295591549499</v>
      </c>
      <c r="G22" s="1161">
        <v>103.95993561667426</v>
      </c>
      <c r="H22" s="1162">
        <v>38.953096922654105</v>
      </c>
      <c r="I22" s="1161">
        <v>39.06164411998761</v>
      </c>
      <c r="J22" s="1163">
        <v>39.01176189564744</v>
      </c>
      <c r="K22" s="1163">
        <v>38.97166889817149</v>
      </c>
      <c r="L22" s="1163">
        <v>39.04920031099152</v>
      </c>
      <c r="M22" s="1162">
        <v>38.99765668249294</v>
      </c>
      <c r="N22" s="281"/>
      <c r="O22" s="281"/>
      <c r="P22" s="281"/>
      <c r="Q22" s="281"/>
      <c r="R22" s="281"/>
      <c r="S22" s="281"/>
      <c r="T22" s="281"/>
    </row>
    <row r="23" spans="1:20" ht="38.25">
      <c r="A23" s="1051"/>
      <c r="B23" s="1172" t="s">
        <v>274</v>
      </c>
      <c r="C23" s="1155" t="s">
        <v>879</v>
      </c>
      <c r="D23" s="331">
        <v>61.22322998365441</v>
      </c>
      <c r="E23" s="332">
        <v>86.57903988436783</v>
      </c>
      <c r="F23" s="332">
        <v>67.93409711005373</v>
      </c>
      <c r="G23" s="332">
        <v>50.46019545441011</v>
      </c>
      <c r="H23" s="333">
        <v>45.68336975227675</v>
      </c>
      <c r="I23" s="332">
        <v>47.18040330812912</v>
      </c>
      <c r="J23" s="334">
        <v>51.4786451649748</v>
      </c>
      <c r="K23" s="334">
        <v>56.83855216749885</v>
      </c>
      <c r="L23" s="334">
        <v>63.016083580318885</v>
      </c>
      <c r="M23" s="333">
        <v>70.0645399518203</v>
      </c>
      <c r="N23" s="281"/>
      <c r="O23" s="281"/>
      <c r="P23" s="281"/>
      <c r="Q23" s="281"/>
      <c r="R23" s="281"/>
      <c r="S23" s="281"/>
      <c r="T23" s="281"/>
    </row>
    <row r="24" spans="1:20" ht="38.25">
      <c r="A24" s="1051"/>
      <c r="B24" s="1172" t="s">
        <v>275</v>
      </c>
      <c r="C24" s="1155" t="s">
        <v>879</v>
      </c>
      <c r="D24" s="331">
        <v>-31.339621061283573</v>
      </c>
      <c r="E24" s="332">
        <v>-35.58205851041552</v>
      </c>
      <c r="F24" s="332">
        <v>-23.69114119455874</v>
      </c>
      <c r="G24" s="332">
        <v>-32.60025983773585</v>
      </c>
      <c r="H24" s="333">
        <v>-34.23027282962264</v>
      </c>
      <c r="I24" s="332">
        <v>-32.51875918814151</v>
      </c>
      <c r="J24" s="334">
        <v>-29.26688326932736</v>
      </c>
      <c r="K24" s="334">
        <v>-29.26688326932736</v>
      </c>
      <c r="L24" s="334">
        <v>-29.26688326932736</v>
      </c>
      <c r="M24" s="333">
        <v>-29.26688326932736</v>
      </c>
      <c r="N24" s="281"/>
      <c r="O24" s="281"/>
      <c r="P24" s="281"/>
      <c r="Q24" s="281"/>
      <c r="R24" s="281"/>
      <c r="S24" s="281"/>
      <c r="T24" s="281"/>
    </row>
    <row r="25" spans="1:20" ht="51">
      <c r="A25" s="1051"/>
      <c r="B25" s="1172" t="s">
        <v>157</v>
      </c>
      <c r="C25" s="1155" t="s">
        <v>879</v>
      </c>
      <c r="D25" s="331">
        <v>0</v>
      </c>
      <c r="E25" s="332">
        <v>-121</v>
      </c>
      <c r="F25" s="332">
        <v>48.8</v>
      </c>
      <c r="G25" s="332">
        <v>86.1</v>
      </c>
      <c r="H25" s="333">
        <v>27.5</v>
      </c>
      <c r="I25" s="332">
        <v>24.4</v>
      </c>
      <c r="J25" s="334">
        <v>16.8</v>
      </c>
      <c r="K25" s="334">
        <v>11.4</v>
      </c>
      <c r="L25" s="334">
        <v>5.3</v>
      </c>
      <c r="M25" s="333">
        <v>-1.8</v>
      </c>
      <c r="N25" s="281"/>
      <c r="O25" s="281"/>
      <c r="P25" s="281"/>
      <c r="Q25" s="281"/>
      <c r="R25" s="281"/>
      <c r="S25" s="281"/>
      <c r="T25" s="281"/>
    </row>
    <row r="26" spans="1:20" ht="12.75">
      <c r="A26" s="1051"/>
      <c r="B26" s="1173"/>
      <c r="C26" s="1174"/>
      <c r="D26" s="1175"/>
      <c r="E26" s="1176"/>
      <c r="F26" s="1176"/>
      <c r="G26" s="1176"/>
      <c r="H26" s="1177"/>
      <c r="I26" s="1176"/>
      <c r="J26" s="1176"/>
      <c r="K26" s="1176"/>
      <c r="L26" s="1176"/>
      <c r="M26" s="1177"/>
      <c r="N26" s="281"/>
      <c r="O26" s="281"/>
      <c r="P26" s="281"/>
      <c r="Q26" s="281"/>
      <c r="R26" s="281"/>
      <c r="S26" s="281"/>
      <c r="T26" s="281"/>
    </row>
    <row r="27" spans="1:20" ht="25.5">
      <c r="A27" s="1051"/>
      <c r="B27" s="1170" t="s">
        <v>262</v>
      </c>
      <c r="C27" s="1155" t="s">
        <v>522</v>
      </c>
      <c r="D27" s="1171">
        <v>30104.9</v>
      </c>
      <c r="E27" s="1161">
        <v>29508.87294690101</v>
      </c>
      <c r="F27" s="1161">
        <v>29665.403522061137</v>
      </c>
      <c r="G27" s="1161">
        <v>29133.779123498996</v>
      </c>
      <c r="H27" s="1162">
        <v>27786.10373262026</v>
      </c>
      <c r="I27" s="1161">
        <v>27637.56645637407</v>
      </c>
      <c r="J27" s="1163">
        <v>28143.049712027703</v>
      </c>
      <c r="K27" s="1163">
        <v>28347.761310734062</v>
      </c>
      <c r="L27" s="1163">
        <v>28504.659507964814</v>
      </c>
      <c r="M27" s="1162">
        <v>28539.062081679618</v>
      </c>
      <c r="N27" s="281"/>
      <c r="O27" s="281"/>
      <c r="P27" s="281"/>
      <c r="Q27" s="281"/>
      <c r="R27" s="281"/>
      <c r="S27" s="281"/>
      <c r="T27" s="281"/>
    </row>
    <row r="28" spans="1:20" ht="25.5">
      <c r="A28" s="1051"/>
      <c r="B28" s="1098" t="s">
        <v>259</v>
      </c>
      <c r="C28" s="1155" t="s">
        <v>522</v>
      </c>
      <c r="D28" s="1160">
        <v>0</v>
      </c>
      <c r="E28" s="1161">
        <v>-596.0270530989924</v>
      </c>
      <c r="F28" s="1161">
        <v>156.53057516012572</v>
      </c>
      <c r="G28" s="1161">
        <v>-531.6243985621418</v>
      </c>
      <c r="H28" s="1162">
        <v>-1347.675390878736</v>
      </c>
      <c r="I28" s="1161">
        <v>-148.53727624619205</v>
      </c>
      <c r="J28" s="1163">
        <v>505.4832556536347</v>
      </c>
      <c r="K28" s="1163">
        <v>204.71159870635893</v>
      </c>
      <c r="L28" s="1163">
        <v>156.89819723075198</v>
      </c>
      <c r="M28" s="1162">
        <v>34.40257371480402</v>
      </c>
      <c r="N28" s="281"/>
      <c r="O28" s="281"/>
      <c r="P28" s="281"/>
      <c r="Q28" s="281"/>
      <c r="R28" s="281"/>
      <c r="S28" s="281"/>
      <c r="T28" s="281"/>
    </row>
    <row r="29" spans="1:20" ht="12.75">
      <c r="A29" s="1051"/>
      <c r="B29" s="1178" t="s">
        <v>400</v>
      </c>
      <c r="C29" s="1155" t="s">
        <v>522</v>
      </c>
      <c r="D29" s="331">
        <v>0</v>
      </c>
      <c r="E29" s="332">
        <v>-383.7</v>
      </c>
      <c r="F29" s="332">
        <v>204.4</v>
      </c>
      <c r="G29" s="332">
        <v>603.3</v>
      </c>
      <c r="H29" s="333">
        <v>-364.4901288883282</v>
      </c>
      <c r="I29" s="332">
        <v>-76.96511183507069</v>
      </c>
      <c r="J29" s="334">
        <v>595.7583455122638</v>
      </c>
      <c r="K29" s="334">
        <v>321.9976550762952</v>
      </c>
      <c r="L29" s="334">
        <v>311.59367679810094</v>
      </c>
      <c r="M29" s="333">
        <v>227.41184967661448</v>
      </c>
      <c r="N29" s="281"/>
      <c r="O29" s="281"/>
      <c r="P29" s="281"/>
      <c r="Q29" s="281"/>
      <c r="R29" s="281"/>
      <c r="S29" s="281"/>
      <c r="T29" s="281"/>
    </row>
    <row r="30" spans="1:20" ht="12.75">
      <c r="A30" s="1051"/>
      <c r="B30" s="1178" t="s">
        <v>401</v>
      </c>
      <c r="C30" s="1155" t="s">
        <v>522</v>
      </c>
      <c r="D30" s="331">
        <v>0</v>
      </c>
      <c r="E30" s="332">
        <v>-60.2097207498556</v>
      </c>
      <c r="F30" s="332">
        <v>-59.017893965620345</v>
      </c>
      <c r="G30" s="332">
        <v>-59.33072492490443</v>
      </c>
      <c r="H30" s="333">
        <v>-58.26751519287883</v>
      </c>
      <c r="I30" s="332">
        <v>-55.57216441112136</v>
      </c>
      <c r="J30" s="334">
        <v>-55.27508985862898</v>
      </c>
      <c r="K30" s="334">
        <v>-56.28605636993625</v>
      </c>
      <c r="L30" s="334">
        <v>-56.69547956734897</v>
      </c>
      <c r="M30" s="333">
        <v>-57.00927596181047</v>
      </c>
      <c r="N30" s="281"/>
      <c r="O30" s="281"/>
      <c r="P30" s="281"/>
      <c r="Q30" s="281"/>
      <c r="R30" s="281"/>
      <c r="S30" s="281"/>
      <c r="T30" s="281"/>
    </row>
    <row r="31" spans="1:20" ht="12.75">
      <c r="A31" s="1051"/>
      <c r="B31" s="1178" t="s">
        <v>416</v>
      </c>
      <c r="C31" s="1155" t="s">
        <v>522</v>
      </c>
      <c r="D31" s="331">
        <v>0</v>
      </c>
      <c r="E31" s="332">
        <v>0</v>
      </c>
      <c r="F31" s="332">
        <v>0</v>
      </c>
      <c r="G31" s="332">
        <v>0</v>
      </c>
      <c r="H31" s="333">
        <v>-1</v>
      </c>
      <c r="I31" s="332">
        <v>-16</v>
      </c>
      <c r="J31" s="334">
        <v>-35</v>
      </c>
      <c r="K31" s="334">
        <v>-61</v>
      </c>
      <c r="L31" s="334">
        <v>-98</v>
      </c>
      <c r="M31" s="333">
        <v>-136</v>
      </c>
      <c r="N31" s="281"/>
      <c r="O31" s="281"/>
      <c r="P31" s="281"/>
      <c r="Q31" s="281"/>
      <c r="R31" s="281"/>
      <c r="S31" s="281"/>
      <c r="T31" s="281"/>
    </row>
    <row r="32" spans="1:20" ht="12.75">
      <c r="A32" s="1051"/>
      <c r="B32" s="1178" t="s">
        <v>428</v>
      </c>
      <c r="C32" s="1155" t="s">
        <v>522</v>
      </c>
      <c r="D32" s="331">
        <v>0</v>
      </c>
      <c r="E32" s="332">
        <v>0</v>
      </c>
      <c r="F32" s="332">
        <v>0</v>
      </c>
      <c r="G32" s="332">
        <v>0</v>
      </c>
      <c r="H32" s="333">
        <v>0</v>
      </c>
      <c r="I32" s="332">
        <v>0</v>
      </c>
      <c r="J32" s="334">
        <v>0</v>
      </c>
      <c r="K32" s="334">
        <v>0</v>
      </c>
      <c r="L32" s="334">
        <v>0</v>
      </c>
      <c r="M32" s="333">
        <v>0</v>
      </c>
      <c r="N32" s="281"/>
      <c r="O32" s="281"/>
      <c r="P32" s="281"/>
      <c r="Q32" s="281"/>
      <c r="R32" s="281"/>
      <c r="S32" s="281"/>
      <c r="T32" s="281"/>
    </row>
    <row r="33" spans="1:20" ht="12.75">
      <c r="A33" s="1051"/>
      <c r="B33" s="1178" t="s">
        <v>429</v>
      </c>
      <c r="C33" s="1155" t="s">
        <v>522</v>
      </c>
      <c r="D33" s="331">
        <v>0</v>
      </c>
      <c r="E33" s="332">
        <v>-152.11733234913683</v>
      </c>
      <c r="F33" s="332">
        <v>11.14846912574607</v>
      </c>
      <c r="G33" s="332">
        <v>-176.7873896483599</v>
      </c>
      <c r="H33" s="333">
        <v>0</v>
      </c>
      <c r="I33" s="332">
        <v>0</v>
      </c>
      <c r="J33" s="334">
        <v>0</v>
      </c>
      <c r="K33" s="334">
        <v>0</v>
      </c>
      <c r="L33" s="334">
        <v>0</v>
      </c>
      <c r="M33" s="333">
        <v>0</v>
      </c>
      <c r="N33" s="281"/>
      <c r="O33" s="281"/>
      <c r="P33" s="281"/>
      <c r="Q33" s="281"/>
      <c r="R33" s="281"/>
      <c r="S33" s="281"/>
      <c r="T33" s="281"/>
    </row>
    <row r="34" spans="1:20" ht="12.75">
      <c r="A34" s="1051"/>
      <c r="B34" s="1178" t="s">
        <v>430</v>
      </c>
      <c r="C34" s="1155" t="s">
        <v>522</v>
      </c>
      <c r="D34" s="331">
        <v>0</v>
      </c>
      <c r="E34" s="332">
        <v>0</v>
      </c>
      <c r="F34" s="332">
        <v>0</v>
      </c>
      <c r="G34" s="332">
        <v>-898.8062839888775</v>
      </c>
      <c r="H34" s="333">
        <v>-923.9177467975289</v>
      </c>
      <c r="I34" s="332">
        <v>0</v>
      </c>
      <c r="J34" s="334">
        <v>0</v>
      </c>
      <c r="K34" s="334">
        <v>0</v>
      </c>
      <c r="L34" s="334">
        <v>0</v>
      </c>
      <c r="M34" s="333">
        <v>0</v>
      </c>
      <c r="N34" s="281"/>
      <c r="O34" s="281"/>
      <c r="P34" s="281"/>
      <c r="Q34" s="281"/>
      <c r="R34" s="281"/>
      <c r="S34" s="281"/>
      <c r="T34" s="281"/>
    </row>
    <row r="35" spans="1:20" ht="12.75">
      <c r="A35" s="1051"/>
      <c r="B35" s="1173"/>
      <c r="C35" s="1174"/>
      <c r="D35" s="1179"/>
      <c r="E35" s="1081"/>
      <c r="F35" s="1081"/>
      <c r="G35" s="1081"/>
      <c r="H35" s="1082"/>
      <c r="I35" s="1081"/>
      <c r="J35" s="1081"/>
      <c r="K35" s="1081"/>
      <c r="L35" s="1081"/>
      <c r="M35" s="1082"/>
      <c r="N35" s="281"/>
      <c r="O35" s="281"/>
      <c r="P35" s="281"/>
      <c r="Q35" s="281"/>
      <c r="R35" s="281"/>
      <c r="S35" s="281"/>
      <c r="T35" s="281"/>
    </row>
    <row r="36" spans="1:20" ht="25.5">
      <c r="A36" s="1051"/>
      <c r="B36" s="1170" t="s">
        <v>262</v>
      </c>
      <c r="C36" s="1155"/>
      <c r="D36" s="1180"/>
      <c r="E36" s="1181"/>
      <c r="F36" s="1181"/>
      <c r="G36" s="1181"/>
      <c r="H36" s="1182"/>
      <c r="I36" s="1181"/>
      <c r="J36" s="1181"/>
      <c r="K36" s="1181"/>
      <c r="L36" s="1181"/>
      <c r="M36" s="1182"/>
      <c r="N36" s="281"/>
      <c r="O36" s="281"/>
      <c r="P36" s="281"/>
      <c r="Q36" s="281"/>
      <c r="R36" s="281"/>
      <c r="S36" s="281"/>
      <c r="T36" s="281"/>
    </row>
    <row r="37" spans="1:20" ht="12.75">
      <c r="A37" s="1051"/>
      <c r="B37" s="1172" t="s">
        <v>875</v>
      </c>
      <c r="C37" s="1155" t="s">
        <v>522</v>
      </c>
      <c r="D37" s="331">
        <v>19523.26645912965</v>
      </c>
      <c r="E37" s="332">
        <v>19016.929435043203</v>
      </c>
      <c r="F37" s="332">
        <v>19286.227944554696</v>
      </c>
      <c r="G37" s="332">
        <v>19229.074695564028</v>
      </c>
      <c r="H37" s="333">
        <v>18354.625369378955</v>
      </c>
      <c r="I37" s="332">
        <v>18249.277296070482</v>
      </c>
      <c r="J37" s="334">
        <v>18625.949514491527</v>
      </c>
      <c r="K37" s="334">
        <v>18839.156840147247</v>
      </c>
      <c r="L37" s="334">
        <v>18968.934447947027</v>
      </c>
      <c r="M37" s="333">
        <v>19043.032656457795</v>
      </c>
      <c r="N37" s="281"/>
      <c r="O37" s="281"/>
      <c r="P37" s="281"/>
      <c r="Q37" s="281"/>
      <c r="R37" s="281"/>
      <c r="S37" s="281"/>
      <c r="T37" s="281"/>
    </row>
    <row r="38" spans="1:20" ht="12.75">
      <c r="A38" s="1051"/>
      <c r="B38" s="1172" t="s">
        <v>874</v>
      </c>
      <c r="C38" s="1155" t="s">
        <v>522</v>
      </c>
      <c r="D38" s="331">
        <v>9858.545483360464</v>
      </c>
      <c r="E38" s="332">
        <v>9824.43097934017</v>
      </c>
      <c r="F38" s="332">
        <v>9669.493260325531</v>
      </c>
      <c r="G38" s="332">
        <v>9284.365647030776</v>
      </c>
      <c r="H38" s="333">
        <v>8814.117559631724</v>
      </c>
      <c r="I38" s="332">
        <v>8770.928356694005</v>
      </c>
      <c r="J38" s="334">
        <v>8899.739393926598</v>
      </c>
      <c r="K38" s="334">
        <v>8891.243666977234</v>
      </c>
      <c r="L38" s="334">
        <v>8918.364256408206</v>
      </c>
      <c r="M38" s="333">
        <v>8878.668621612245</v>
      </c>
      <c r="N38" s="281"/>
      <c r="O38" s="281"/>
      <c r="P38" s="281"/>
      <c r="Q38" s="281"/>
      <c r="R38" s="281"/>
      <c r="S38" s="281"/>
      <c r="T38" s="281"/>
    </row>
    <row r="39" spans="1:20" ht="12.75">
      <c r="A39" s="1051"/>
      <c r="B39" s="1172" t="s">
        <v>569</v>
      </c>
      <c r="C39" s="1155" t="s">
        <v>522</v>
      </c>
      <c r="D39" s="331">
        <v>723.048432437686</v>
      </c>
      <c r="E39" s="332">
        <v>667.5865684267987</v>
      </c>
      <c r="F39" s="332">
        <v>709.6412575719918</v>
      </c>
      <c r="G39" s="332">
        <v>620.3172538446136</v>
      </c>
      <c r="H39" s="333">
        <v>617.33927655</v>
      </c>
      <c r="I39" s="332">
        <v>617.33927655</v>
      </c>
      <c r="J39" s="334">
        <v>617.33927655</v>
      </c>
      <c r="K39" s="334">
        <v>617.33927655</v>
      </c>
      <c r="L39" s="334">
        <v>617.33927655</v>
      </c>
      <c r="M39" s="333">
        <v>617.33927655</v>
      </c>
      <c r="N39" s="281"/>
      <c r="O39" s="281"/>
      <c r="P39" s="281"/>
      <c r="Q39" s="281"/>
      <c r="R39" s="281"/>
      <c r="S39" s="281"/>
      <c r="T39" s="281"/>
    </row>
    <row r="40" spans="1:20" ht="12.75">
      <c r="A40" s="1051"/>
      <c r="B40" s="1170" t="s">
        <v>276</v>
      </c>
      <c r="C40" s="1155" t="s">
        <v>522</v>
      </c>
      <c r="D40" s="1099">
        <v>30104.860374927797</v>
      </c>
      <c r="E40" s="1100">
        <v>29508.946982810172</v>
      </c>
      <c r="F40" s="1100">
        <v>29665.362462452216</v>
      </c>
      <c r="G40" s="1100">
        <v>29133.757596439416</v>
      </c>
      <c r="H40" s="1101">
        <v>27786.08220556068</v>
      </c>
      <c r="I40" s="1100">
        <v>27637.54492931449</v>
      </c>
      <c r="J40" s="1102">
        <v>28143.028184968123</v>
      </c>
      <c r="K40" s="1102">
        <v>28347.739783674482</v>
      </c>
      <c r="L40" s="1102">
        <v>28504.637980905234</v>
      </c>
      <c r="M40" s="1101">
        <v>28539.040554620038</v>
      </c>
      <c r="N40" s="281"/>
      <c r="O40" s="281"/>
      <c r="P40" s="281"/>
      <c r="Q40" s="281"/>
      <c r="R40" s="281"/>
      <c r="S40" s="281"/>
      <c r="T40" s="281"/>
    </row>
    <row r="41" spans="1:20" ht="12.75">
      <c r="A41" s="1051"/>
      <c r="B41" s="1098"/>
      <c r="C41" s="1155"/>
      <c r="D41" s="1175"/>
      <c r="E41" s="1176"/>
      <c r="F41" s="1176"/>
      <c r="G41" s="1176"/>
      <c r="H41" s="1177"/>
      <c r="I41" s="1176"/>
      <c r="J41" s="1176"/>
      <c r="K41" s="1176"/>
      <c r="L41" s="1176"/>
      <c r="M41" s="1177"/>
      <c r="N41" s="281"/>
      <c r="O41" s="281"/>
      <c r="P41" s="281"/>
      <c r="Q41" s="281"/>
      <c r="R41" s="281"/>
      <c r="S41" s="281"/>
      <c r="T41" s="281"/>
    </row>
    <row r="42" spans="1:20" ht="51">
      <c r="A42" s="1051"/>
      <c r="B42" s="1098" t="s">
        <v>450</v>
      </c>
      <c r="C42" s="1155"/>
      <c r="D42" s="1180"/>
      <c r="E42" s="1181"/>
      <c r="F42" s="1181"/>
      <c r="G42" s="1181"/>
      <c r="H42" s="1182"/>
      <c r="I42" s="1181"/>
      <c r="J42" s="1181"/>
      <c r="K42" s="1181"/>
      <c r="L42" s="1181"/>
      <c r="M42" s="1182"/>
      <c r="N42" s="281"/>
      <c r="O42" s="281"/>
      <c r="P42" s="281"/>
      <c r="Q42" s="281"/>
      <c r="R42" s="281"/>
      <c r="S42" s="281"/>
      <c r="T42" s="281"/>
    </row>
    <row r="43" spans="1:20" ht="12.75">
      <c r="A43" s="1051"/>
      <c r="B43" s="1172" t="s">
        <v>875</v>
      </c>
      <c r="C43" s="1155" t="s">
        <v>451</v>
      </c>
      <c r="D43" s="331">
        <v>203209.96209810363</v>
      </c>
      <c r="E43" s="332">
        <v>253590.32384568275</v>
      </c>
      <c r="F43" s="332">
        <v>247138.812485008</v>
      </c>
      <c r="G43" s="332">
        <v>162407.161105613</v>
      </c>
      <c r="H43" s="333">
        <v>149722.57225309103</v>
      </c>
      <c r="I43" s="332">
        <v>153294.52527383162</v>
      </c>
      <c r="J43" s="334">
        <v>166488.8696913333</v>
      </c>
      <c r="K43" s="334">
        <v>183276.66213915555</v>
      </c>
      <c r="L43" s="334">
        <v>202079.72137829248</v>
      </c>
      <c r="M43" s="333">
        <v>223108.77229215583</v>
      </c>
      <c r="N43" s="281"/>
      <c r="O43" s="281"/>
      <c r="P43" s="281"/>
      <c r="Q43" s="281"/>
      <c r="R43" s="281"/>
      <c r="S43" s="281"/>
      <c r="T43" s="281"/>
    </row>
    <row r="44" spans="1:20" ht="12.75">
      <c r="A44" s="1051"/>
      <c r="B44" s="1172" t="s">
        <v>874</v>
      </c>
      <c r="C44" s="1155" t="s">
        <v>451</v>
      </c>
      <c r="D44" s="331">
        <v>196300.37897250504</v>
      </c>
      <c r="E44" s="332">
        <v>316771.3280615502</v>
      </c>
      <c r="F44" s="332">
        <v>192019.68535005167</v>
      </c>
      <c r="G44" s="332">
        <v>167619.7317020674</v>
      </c>
      <c r="H44" s="333">
        <v>148778.564486669</v>
      </c>
      <c r="I44" s="332">
        <v>155157.1037479547</v>
      </c>
      <c r="J44" s="334">
        <v>170132.01575159584</v>
      </c>
      <c r="K44" s="334">
        <v>188455.3599958031</v>
      </c>
      <c r="L44" s="334">
        <v>210209.41272066924</v>
      </c>
      <c r="M44" s="333">
        <v>235525.00613990793</v>
      </c>
      <c r="N44" s="281"/>
      <c r="O44" s="281"/>
      <c r="P44" s="281"/>
      <c r="Q44" s="281"/>
      <c r="R44" s="281"/>
      <c r="S44" s="281"/>
      <c r="T44" s="281"/>
    </row>
    <row r="45" spans="1:20" ht="12.75">
      <c r="A45" s="1051"/>
      <c r="B45" s="1172" t="s">
        <v>569</v>
      </c>
      <c r="C45" s="1155" t="s">
        <v>451</v>
      </c>
      <c r="D45" s="331">
        <v>0</v>
      </c>
      <c r="E45" s="332">
        <v>0</v>
      </c>
      <c r="F45" s="332">
        <v>0</v>
      </c>
      <c r="G45" s="332">
        <v>0</v>
      </c>
      <c r="H45" s="333">
        <v>0</v>
      </c>
      <c r="I45" s="332">
        <v>0</v>
      </c>
      <c r="J45" s="334">
        <v>0</v>
      </c>
      <c r="K45" s="334">
        <v>0</v>
      </c>
      <c r="L45" s="334">
        <v>0</v>
      </c>
      <c r="M45" s="333">
        <v>0</v>
      </c>
      <c r="N45" s="281"/>
      <c r="O45" s="281"/>
      <c r="P45" s="281"/>
      <c r="Q45" s="281"/>
      <c r="R45" s="281"/>
      <c r="S45" s="281"/>
      <c r="T45" s="281"/>
    </row>
    <row r="46" spans="1:20" ht="39" thickBot="1">
      <c r="A46" s="1051"/>
      <c r="B46" s="1110" t="s">
        <v>452</v>
      </c>
      <c r="C46" s="1165" t="s">
        <v>451</v>
      </c>
      <c r="D46" s="1086">
        <v>399510.3410706087</v>
      </c>
      <c r="E46" s="1087">
        <v>570361.6519072329</v>
      </c>
      <c r="F46" s="1087">
        <v>439158.49783505965</v>
      </c>
      <c r="G46" s="1087">
        <v>330026.8928076804</v>
      </c>
      <c r="H46" s="1088">
        <v>298501.13673976006</v>
      </c>
      <c r="I46" s="1087">
        <v>308451.6290217863</v>
      </c>
      <c r="J46" s="1089">
        <v>336620.8854429291</v>
      </c>
      <c r="K46" s="1089">
        <v>371732.02213495865</v>
      </c>
      <c r="L46" s="1089">
        <v>412289.1340989617</v>
      </c>
      <c r="M46" s="1088">
        <v>458633.77843206376</v>
      </c>
      <c r="N46" s="337"/>
      <c r="O46" s="281"/>
      <c r="P46" s="281"/>
      <c r="Q46" s="281"/>
      <c r="R46" s="281"/>
      <c r="S46" s="281"/>
      <c r="T46" s="281"/>
    </row>
    <row r="47" spans="1:20" ht="12.75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</row>
    <row r="48" spans="1:20" ht="12.75">
      <c r="A48" s="1051"/>
      <c r="B48" s="1051"/>
      <c r="C48" s="1147"/>
      <c r="D48" s="1166"/>
      <c r="E48" s="1166"/>
      <c r="F48" s="1166"/>
      <c r="G48" s="1166"/>
      <c r="H48" s="1166"/>
      <c r="I48" s="1166"/>
      <c r="J48" s="1166"/>
      <c r="K48" s="1166"/>
      <c r="L48" s="1166"/>
      <c r="M48" s="1166"/>
      <c r="N48" s="281"/>
      <c r="O48" s="281"/>
      <c r="P48" s="281"/>
      <c r="Q48" s="281"/>
      <c r="R48" s="281"/>
      <c r="S48" s="281"/>
      <c r="T48" s="281"/>
    </row>
    <row r="49" spans="1:20" ht="12.75">
      <c r="A49" s="1051"/>
      <c r="B49" s="1050" t="s">
        <v>141</v>
      </c>
      <c r="C49" s="1147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281"/>
      <c r="O49" s="281"/>
      <c r="P49" s="281"/>
      <c r="Q49" s="281"/>
      <c r="R49" s="281"/>
      <c r="S49" s="281"/>
      <c r="T49" s="281"/>
    </row>
    <row r="50" spans="1:20" ht="13.5" thickBot="1">
      <c r="A50" s="1051"/>
      <c r="B50" s="1050"/>
      <c r="C50" s="1147"/>
      <c r="D50" s="1166"/>
      <c r="E50" s="1166"/>
      <c r="F50" s="1166"/>
      <c r="G50" s="1166"/>
      <c r="H50" s="1166"/>
      <c r="I50" s="1166"/>
      <c r="J50" s="1166"/>
      <c r="K50" s="1166"/>
      <c r="L50" s="1166"/>
      <c r="M50" s="1166"/>
      <c r="N50" s="281"/>
      <c r="O50" s="281"/>
      <c r="P50" s="281"/>
      <c r="Q50" s="281"/>
      <c r="R50" s="281"/>
      <c r="S50" s="281"/>
      <c r="T50" s="281"/>
    </row>
    <row r="51" spans="1:20" ht="12.75">
      <c r="A51" s="1051"/>
      <c r="B51" s="1091"/>
      <c r="C51" s="1183"/>
      <c r="D51" s="1068" t="s">
        <v>462</v>
      </c>
      <c r="E51" s="1069"/>
      <c r="F51" s="1069"/>
      <c r="G51" s="1069"/>
      <c r="H51" s="1070"/>
      <c r="I51" s="1069" t="s">
        <v>463</v>
      </c>
      <c r="J51" s="1071"/>
      <c r="K51" s="1071"/>
      <c r="L51" s="1071"/>
      <c r="M51" s="1070"/>
      <c r="N51" s="281"/>
      <c r="O51" s="281"/>
      <c r="P51" s="281"/>
      <c r="Q51" s="281"/>
      <c r="R51" s="281"/>
      <c r="S51" s="281"/>
      <c r="T51" s="281"/>
    </row>
    <row r="52" spans="1:20" ht="12.75">
      <c r="A52" s="1051"/>
      <c r="B52" s="1094"/>
      <c r="C52" s="1184" t="s">
        <v>531</v>
      </c>
      <c r="D52" s="1150" t="s">
        <v>532</v>
      </c>
      <c r="E52" s="1151" t="s">
        <v>533</v>
      </c>
      <c r="F52" s="1151" t="s">
        <v>529</v>
      </c>
      <c r="G52" s="1151" t="s">
        <v>534</v>
      </c>
      <c r="H52" s="1152" t="s">
        <v>535</v>
      </c>
      <c r="I52" s="1153" t="s">
        <v>464</v>
      </c>
      <c r="J52" s="1151" t="s">
        <v>750</v>
      </c>
      <c r="K52" s="1151" t="s">
        <v>836</v>
      </c>
      <c r="L52" s="1151" t="s">
        <v>837</v>
      </c>
      <c r="M52" s="1152" t="s">
        <v>838</v>
      </c>
      <c r="N52" s="281"/>
      <c r="O52" s="281"/>
      <c r="P52" s="281"/>
      <c r="Q52" s="281"/>
      <c r="R52" s="281"/>
      <c r="S52" s="281"/>
      <c r="T52" s="281"/>
    </row>
    <row r="53" spans="1:20" ht="12.75">
      <c r="A53" s="1051"/>
      <c r="B53" s="1185" t="s">
        <v>142</v>
      </c>
      <c r="C53" s="1186"/>
      <c r="D53" s="1187"/>
      <c r="E53" s="1188"/>
      <c r="F53" s="1188"/>
      <c r="G53" s="1188"/>
      <c r="H53" s="1189"/>
      <c r="I53" s="1176"/>
      <c r="J53" s="1176"/>
      <c r="K53" s="1176"/>
      <c r="L53" s="1176"/>
      <c r="M53" s="1177"/>
      <c r="N53" s="343"/>
      <c r="O53" s="281"/>
      <c r="P53" s="281"/>
      <c r="Q53" s="281"/>
      <c r="R53" s="281"/>
      <c r="S53" s="281"/>
      <c r="T53" s="281"/>
    </row>
    <row r="54" spans="1:20" ht="12.75">
      <c r="A54" s="1051"/>
      <c r="B54" s="1167" t="s">
        <v>374</v>
      </c>
      <c r="C54" s="1190"/>
      <c r="D54" s="1191"/>
      <c r="E54" s="1192"/>
      <c r="F54" s="1192"/>
      <c r="G54" s="1192"/>
      <c r="H54" s="1193"/>
      <c r="I54" s="1081"/>
      <c r="J54" s="1081"/>
      <c r="K54" s="1081"/>
      <c r="L54" s="1081"/>
      <c r="M54" s="1082"/>
      <c r="N54" s="343"/>
      <c r="O54" s="281"/>
      <c r="P54" s="281"/>
      <c r="Q54" s="281"/>
      <c r="R54" s="281"/>
      <c r="S54" s="281"/>
      <c r="T54" s="281"/>
    </row>
    <row r="55" spans="1:20" ht="12.75">
      <c r="A55" s="1051"/>
      <c r="B55" s="1194" t="s">
        <v>107</v>
      </c>
      <c r="C55" s="1190" t="s">
        <v>108</v>
      </c>
      <c r="D55" s="344">
        <v>2</v>
      </c>
      <c r="E55" s="345">
        <v>2</v>
      </c>
      <c r="F55" s="345">
        <v>4</v>
      </c>
      <c r="G55" s="345">
        <v>3.6</v>
      </c>
      <c r="H55" s="346">
        <v>3.2</v>
      </c>
      <c r="I55" s="345">
        <v>3.4</v>
      </c>
      <c r="J55" s="347">
        <v>3.7</v>
      </c>
      <c r="K55" s="347">
        <v>4.2</v>
      </c>
      <c r="L55" s="347">
        <v>4.7</v>
      </c>
      <c r="M55" s="346">
        <v>5.3</v>
      </c>
      <c r="N55" s="281"/>
      <c r="O55" s="281"/>
      <c r="P55" s="281"/>
      <c r="Q55" s="281"/>
      <c r="R55" s="281"/>
      <c r="S55" s="281"/>
      <c r="T55" s="281"/>
    </row>
    <row r="56" spans="1:20" ht="12.75">
      <c r="A56" s="1051"/>
      <c r="B56" s="1194" t="s">
        <v>109</v>
      </c>
      <c r="C56" s="1190" t="s">
        <v>108</v>
      </c>
      <c r="D56" s="344">
        <v>34184</v>
      </c>
      <c r="E56" s="345">
        <v>34314.8</v>
      </c>
      <c r="F56" s="345">
        <v>33331</v>
      </c>
      <c r="G56" s="345">
        <v>27899.8</v>
      </c>
      <c r="H56" s="346">
        <v>28372.2</v>
      </c>
      <c r="I56" s="345">
        <v>30153.7</v>
      </c>
      <c r="J56" s="347">
        <v>31706.1</v>
      </c>
      <c r="K56" s="347">
        <v>34216.2</v>
      </c>
      <c r="L56" s="347">
        <v>36957.8</v>
      </c>
      <c r="M56" s="346">
        <v>39945.8</v>
      </c>
      <c r="N56" s="281"/>
      <c r="O56" s="281"/>
      <c r="P56" s="281"/>
      <c r="Q56" s="281"/>
      <c r="R56" s="281"/>
      <c r="S56" s="281"/>
      <c r="T56" s="281"/>
    </row>
    <row r="57" spans="1:20" ht="12.75">
      <c r="A57" s="1051"/>
      <c r="B57" s="1194" t="s">
        <v>697</v>
      </c>
      <c r="C57" s="1190" t="s">
        <v>108</v>
      </c>
      <c r="D57" s="344">
        <v>9236.7</v>
      </c>
      <c r="E57" s="345">
        <v>10487.1</v>
      </c>
      <c r="F57" s="345">
        <v>6982.5</v>
      </c>
      <c r="G57" s="345">
        <v>9608.2</v>
      </c>
      <c r="H57" s="346">
        <v>10088.7</v>
      </c>
      <c r="I57" s="345">
        <v>9584.2</v>
      </c>
      <c r="J57" s="347">
        <v>8625.8</v>
      </c>
      <c r="K57" s="347">
        <v>8625.8</v>
      </c>
      <c r="L57" s="347">
        <v>8625.8</v>
      </c>
      <c r="M57" s="346">
        <v>8625.8</v>
      </c>
      <c r="N57" s="281"/>
      <c r="O57" s="281"/>
      <c r="P57" s="281"/>
      <c r="Q57" s="281"/>
      <c r="R57" s="281"/>
      <c r="S57" s="281"/>
      <c r="T57" s="281"/>
    </row>
    <row r="58" spans="1:20" ht="12.75">
      <c r="A58" s="1051"/>
      <c r="B58" s="1167" t="s">
        <v>277</v>
      </c>
      <c r="C58" s="1190"/>
      <c r="D58" s="1195"/>
      <c r="E58" s="1196"/>
      <c r="F58" s="1196"/>
      <c r="G58" s="1196"/>
      <c r="H58" s="1197"/>
      <c r="I58" s="1198"/>
      <c r="J58" s="1198"/>
      <c r="K58" s="1198"/>
      <c r="L58" s="1198"/>
      <c r="M58" s="1199"/>
      <c r="N58" s="343"/>
      <c r="O58" s="281"/>
      <c r="P58" s="281"/>
      <c r="Q58" s="281"/>
      <c r="R58" s="281"/>
      <c r="S58" s="281"/>
      <c r="T58" s="281"/>
    </row>
    <row r="59" spans="1:20" ht="12.75">
      <c r="A59" s="1051"/>
      <c r="B59" s="1194" t="s">
        <v>107</v>
      </c>
      <c r="C59" s="1190" t="s">
        <v>108</v>
      </c>
      <c r="D59" s="344">
        <v>0</v>
      </c>
      <c r="E59" s="345">
        <v>6</v>
      </c>
      <c r="F59" s="345">
        <v>10</v>
      </c>
      <c r="G59" s="345">
        <v>9</v>
      </c>
      <c r="H59" s="346">
        <v>8.1</v>
      </c>
      <c r="I59" s="345">
        <v>8.5</v>
      </c>
      <c r="J59" s="347">
        <v>9.4</v>
      </c>
      <c r="K59" s="347">
        <v>10.4</v>
      </c>
      <c r="L59" s="347">
        <v>11.6</v>
      </c>
      <c r="M59" s="346">
        <v>13.1</v>
      </c>
      <c r="N59" s="281"/>
      <c r="O59" s="281"/>
      <c r="P59" s="281"/>
      <c r="Q59" s="281"/>
      <c r="R59" s="281"/>
      <c r="S59" s="281"/>
      <c r="T59" s="281"/>
    </row>
    <row r="60" spans="1:20" ht="12.75">
      <c r="A60" s="1051"/>
      <c r="B60" s="1194" t="s">
        <v>109</v>
      </c>
      <c r="C60" s="1190" t="s">
        <v>108</v>
      </c>
      <c r="D60" s="344">
        <v>81</v>
      </c>
      <c r="E60" s="345">
        <v>396</v>
      </c>
      <c r="F60" s="345">
        <v>196</v>
      </c>
      <c r="G60" s="345">
        <v>174.7</v>
      </c>
      <c r="H60" s="346">
        <v>156.6</v>
      </c>
      <c r="I60" s="345">
        <v>164</v>
      </c>
      <c r="J60" s="347">
        <v>180.3</v>
      </c>
      <c r="K60" s="347">
        <v>200</v>
      </c>
      <c r="L60" s="347">
        <v>223.7</v>
      </c>
      <c r="M60" s="346">
        <v>252.1</v>
      </c>
      <c r="N60" s="281"/>
      <c r="O60" s="281"/>
      <c r="P60" s="281"/>
      <c r="Q60" s="281"/>
      <c r="R60" s="281"/>
      <c r="S60" s="281"/>
      <c r="T60" s="281"/>
    </row>
    <row r="61" spans="1:20" ht="12.75">
      <c r="A61" s="1051"/>
      <c r="B61" s="1194" t="s">
        <v>697</v>
      </c>
      <c r="C61" s="1190" t="s">
        <v>108</v>
      </c>
      <c r="D61" s="344">
        <v>93.3</v>
      </c>
      <c r="E61" s="345">
        <v>105.9</v>
      </c>
      <c r="F61" s="345">
        <v>70.5</v>
      </c>
      <c r="G61" s="345">
        <v>97.1</v>
      </c>
      <c r="H61" s="346">
        <v>101.9</v>
      </c>
      <c r="I61" s="345">
        <v>96.8</v>
      </c>
      <c r="J61" s="347">
        <v>87.1</v>
      </c>
      <c r="K61" s="347">
        <v>87.1</v>
      </c>
      <c r="L61" s="347">
        <v>87.1</v>
      </c>
      <c r="M61" s="346">
        <v>87.1</v>
      </c>
      <c r="N61" s="281"/>
      <c r="O61" s="281"/>
      <c r="P61" s="281"/>
      <c r="Q61" s="281"/>
      <c r="R61" s="281"/>
      <c r="S61" s="281"/>
      <c r="T61" s="281"/>
    </row>
    <row r="62" spans="1:20" ht="12.75">
      <c r="A62" s="1051"/>
      <c r="B62" s="1167" t="s">
        <v>696</v>
      </c>
      <c r="C62" s="1190"/>
      <c r="D62" s="1195"/>
      <c r="E62" s="1196"/>
      <c r="F62" s="1196"/>
      <c r="G62" s="1196"/>
      <c r="H62" s="1197"/>
      <c r="I62" s="1198"/>
      <c r="J62" s="1198"/>
      <c r="K62" s="1198"/>
      <c r="L62" s="1198"/>
      <c r="M62" s="1199"/>
      <c r="N62" s="343"/>
      <c r="O62" s="281"/>
      <c r="P62" s="281"/>
      <c r="Q62" s="281"/>
      <c r="R62" s="281"/>
      <c r="S62" s="281"/>
      <c r="T62" s="281"/>
    </row>
    <row r="63" spans="1:20" ht="12.75">
      <c r="A63" s="1051"/>
      <c r="B63" s="1194" t="s">
        <v>107</v>
      </c>
      <c r="C63" s="1190" t="s">
        <v>108</v>
      </c>
      <c r="D63" s="344">
        <v>0</v>
      </c>
      <c r="E63" s="345">
        <v>0</v>
      </c>
      <c r="F63" s="345">
        <v>0</v>
      </c>
      <c r="G63" s="345">
        <v>0</v>
      </c>
      <c r="H63" s="346">
        <v>0</v>
      </c>
      <c r="I63" s="345">
        <v>0</v>
      </c>
      <c r="J63" s="347">
        <v>0</v>
      </c>
      <c r="K63" s="347">
        <v>0</v>
      </c>
      <c r="L63" s="347">
        <v>0</v>
      </c>
      <c r="M63" s="346">
        <v>0</v>
      </c>
      <c r="N63" s="281"/>
      <c r="O63" s="281"/>
      <c r="P63" s="281"/>
      <c r="Q63" s="281"/>
      <c r="R63" s="281"/>
      <c r="S63" s="281"/>
      <c r="T63" s="281"/>
    </row>
    <row r="64" spans="1:20" ht="12.75">
      <c r="A64" s="1051"/>
      <c r="B64" s="1194" t="s">
        <v>109</v>
      </c>
      <c r="C64" s="1190" t="s">
        <v>108</v>
      </c>
      <c r="D64" s="344">
        <v>0</v>
      </c>
      <c r="E64" s="345">
        <v>0</v>
      </c>
      <c r="F64" s="345">
        <v>0</v>
      </c>
      <c r="G64" s="345">
        <v>0</v>
      </c>
      <c r="H64" s="346">
        <v>0</v>
      </c>
      <c r="I64" s="345">
        <v>0</v>
      </c>
      <c r="J64" s="347">
        <v>0</v>
      </c>
      <c r="K64" s="347">
        <v>0</v>
      </c>
      <c r="L64" s="347">
        <v>0</v>
      </c>
      <c r="M64" s="346">
        <v>0</v>
      </c>
      <c r="N64" s="281"/>
      <c r="O64" s="281"/>
      <c r="P64" s="281"/>
      <c r="Q64" s="281"/>
      <c r="R64" s="281"/>
      <c r="S64" s="281"/>
      <c r="T64" s="281"/>
    </row>
    <row r="65" spans="1:20" ht="12.75">
      <c r="A65" s="1051"/>
      <c r="B65" s="1194" t="s">
        <v>697</v>
      </c>
      <c r="C65" s="1190" t="s">
        <v>108</v>
      </c>
      <c r="D65" s="344">
        <v>0</v>
      </c>
      <c r="E65" s="345">
        <v>0</v>
      </c>
      <c r="F65" s="345">
        <v>0</v>
      </c>
      <c r="G65" s="345">
        <v>0</v>
      </c>
      <c r="H65" s="346">
        <v>0</v>
      </c>
      <c r="I65" s="345">
        <v>0</v>
      </c>
      <c r="J65" s="347">
        <v>0</v>
      </c>
      <c r="K65" s="347">
        <v>0</v>
      </c>
      <c r="L65" s="347">
        <v>0</v>
      </c>
      <c r="M65" s="346">
        <v>0</v>
      </c>
      <c r="N65" s="281"/>
      <c r="O65" s="281"/>
      <c r="P65" s="281"/>
      <c r="Q65" s="281"/>
      <c r="R65" s="281"/>
      <c r="S65" s="281"/>
      <c r="T65" s="281"/>
    </row>
    <row r="66" spans="1:20" ht="12.75">
      <c r="A66" s="1051"/>
      <c r="B66" s="1167" t="s">
        <v>799</v>
      </c>
      <c r="C66" s="1190"/>
      <c r="D66" s="1195"/>
      <c r="E66" s="1196"/>
      <c r="F66" s="1196"/>
      <c r="G66" s="1196"/>
      <c r="H66" s="1197"/>
      <c r="I66" s="1198"/>
      <c r="J66" s="1198"/>
      <c r="K66" s="1198"/>
      <c r="L66" s="1198"/>
      <c r="M66" s="1199"/>
      <c r="N66" s="343"/>
      <c r="O66" s="281"/>
      <c r="P66" s="281"/>
      <c r="Q66" s="281"/>
      <c r="R66" s="281"/>
      <c r="S66" s="281"/>
      <c r="T66" s="281"/>
    </row>
    <row r="67" spans="1:20" ht="12.75">
      <c r="A67" s="1051"/>
      <c r="B67" s="1194" t="s">
        <v>107</v>
      </c>
      <c r="C67" s="1190" t="s">
        <v>108</v>
      </c>
      <c r="D67" s="348">
        <v>0</v>
      </c>
      <c r="E67" s="349">
        <v>0</v>
      </c>
      <c r="F67" s="349">
        <v>0</v>
      </c>
      <c r="G67" s="349">
        <v>0</v>
      </c>
      <c r="H67" s="350">
        <v>0</v>
      </c>
      <c r="I67" s="349">
        <v>0</v>
      </c>
      <c r="J67" s="351">
        <v>0</v>
      </c>
      <c r="K67" s="351">
        <v>0</v>
      </c>
      <c r="L67" s="351">
        <v>0</v>
      </c>
      <c r="M67" s="350">
        <v>0</v>
      </c>
      <c r="N67" s="281"/>
      <c r="O67" s="281"/>
      <c r="P67" s="281"/>
      <c r="Q67" s="281"/>
      <c r="R67" s="281"/>
      <c r="S67" s="281"/>
      <c r="T67" s="281"/>
    </row>
    <row r="68" spans="1:20" ht="12.75">
      <c r="A68" s="1051"/>
      <c r="B68" s="1194" t="s">
        <v>109</v>
      </c>
      <c r="C68" s="1190" t="s">
        <v>108</v>
      </c>
      <c r="D68" s="348">
        <v>0</v>
      </c>
      <c r="E68" s="349">
        <v>0</v>
      </c>
      <c r="F68" s="349">
        <v>0</v>
      </c>
      <c r="G68" s="349">
        <v>0</v>
      </c>
      <c r="H68" s="350">
        <v>0</v>
      </c>
      <c r="I68" s="349">
        <v>0</v>
      </c>
      <c r="J68" s="351">
        <v>0</v>
      </c>
      <c r="K68" s="351">
        <v>0</v>
      </c>
      <c r="L68" s="351">
        <v>0</v>
      </c>
      <c r="M68" s="350">
        <v>0</v>
      </c>
      <c r="N68" s="281"/>
      <c r="O68" s="281"/>
      <c r="P68" s="281"/>
      <c r="Q68" s="281"/>
      <c r="R68" s="281"/>
      <c r="S68" s="281"/>
      <c r="T68" s="281"/>
    </row>
    <row r="69" spans="1:20" ht="12.75">
      <c r="A69" s="1051"/>
      <c r="B69" s="1194" t="s">
        <v>697</v>
      </c>
      <c r="C69" s="1190" t="s">
        <v>108</v>
      </c>
      <c r="D69" s="344">
        <v>0</v>
      </c>
      <c r="E69" s="345">
        <v>0</v>
      </c>
      <c r="F69" s="345">
        <v>0</v>
      </c>
      <c r="G69" s="345">
        <v>0</v>
      </c>
      <c r="H69" s="346">
        <v>0</v>
      </c>
      <c r="I69" s="345">
        <v>0</v>
      </c>
      <c r="J69" s="347">
        <v>0</v>
      </c>
      <c r="K69" s="347">
        <v>0</v>
      </c>
      <c r="L69" s="347">
        <v>0</v>
      </c>
      <c r="M69" s="346">
        <v>0</v>
      </c>
      <c r="N69" s="281"/>
      <c r="O69" s="281"/>
      <c r="P69" s="281"/>
      <c r="Q69" s="281"/>
      <c r="R69" s="281"/>
      <c r="S69" s="281"/>
      <c r="T69" s="281"/>
    </row>
    <row r="70" spans="1:20" ht="25.5">
      <c r="A70" s="1051"/>
      <c r="B70" s="1200" t="s">
        <v>800</v>
      </c>
      <c r="C70" s="1190" t="s">
        <v>108</v>
      </c>
      <c r="D70" s="1201">
        <v>34267</v>
      </c>
      <c r="E70" s="1202">
        <v>34718.8</v>
      </c>
      <c r="F70" s="1202">
        <v>33541</v>
      </c>
      <c r="G70" s="1202">
        <v>28087.1</v>
      </c>
      <c r="H70" s="1203">
        <v>28540.1</v>
      </c>
      <c r="I70" s="1204">
        <v>30329.6</v>
      </c>
      <c r="J70" s="1202">
        <v>31899.5</v>
      </c>
      <c r="K70" s="1202">
        <v>34430.8</v>
      </c>
      <c r="L70" s="1202">
        <v>37197.8</v>
      </c>
      <c r="M70" s="1203">
        <v>40216.3</v>
      </c>
      <c r="N70" s="352"/>
      <c r="O70" s="281"/>
      <c r="P70" s="281"/>
      <c r="Q70" s="281"/>
      <c r="R70" s="281"/>
      <c r="S70" s="281"/>
      <c r="T70" s="281"/>
    </row>
    <row r="71" spans="1:20" ht="39" thickBot="1">
      <c r="A71" s="1051"/>
      <c r="B71" s="1205" t="s">
        <v>803</v>
      </c>
      <c r="C71" s="1206" t="s">
        <v>108</v>
      </c>
      <c r="D71" s="1207">
        <v>9330</v>
      </c>
      <c r="E71" s="1208">
        <v>10593</v>
      </c>
      <c r="F71" s="1208">
        <v>7053</v>
      </c>
      <c r="G71" s="1208">
        <v>9705.3</v>
      </c>
      <c r="H71" s="1209">
        <v>10190.6</v>
      </c>
      <c r="I71" s="1210">
        <v>9681</v>
      </c>
      <c r="J71" s="1208">
        <v>8712.9</v>
      </c>
      <c r="K71" s="1208">
        <v>8712.9</v>
      </c>
      <c r="L71" s="1208">
        <v>8712.9</v>
      </c>
      <c r="M71" s="1209">
        <v>8712.9</v>
      </c>
      <c r="N71" s="352"/>
      <c r="O71" s="281"/>
      <c r="P71" s="281"/>
      <c r="Q71" s="281"/>
      <c r="R71" s="281"/>
      <c r="S71" s="281"/>
      <c r="T71" s="281"/>
    </row>
    <row r="72" spans="1:20" ht="12.75">
      <c r="A72" s="1051"/>
      <c r="B72" s="1211"/>
      <c r="C72" s="353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</row>
    <row r="73" spans="1:20" ht="12.75">
      <c r="A73" s="1051"/>
      <c r="B73" s="1212"/>
      <c r="C73" s="1213"/>
      <c r="D73" s="1214"/>
      <c r="E73" s="1214"/>
      <c r="F73" s="1214"/>
      <c r="G73" s="1214"/>
      <c r="H73" s="1214"/>
      <c r="I73" s="1214"/>
      <c r="J73" s="1214"/>
      <c r="K73" s="1214"/>
      <c r="L73" s="1214"/>
      <c r="M73" s="1214"/>
      <c r="N73" s="281"/>
      <c r="O73" s="1214"/>
      <c r="P73" s="1214"/>
      <c r="Q73" s="1214"/>
      <c r="R73" s="281"/>
      <c r="S73" s="1214"/>
      <c r="T73" s="1214"/>
    </row>
    <row r="74" spans="1:20" ht="12.75">
      <c r="A74" s="1051"/>
      <c r="B74" s="1050" t="s">
        <v>804</v>
      </c>
      <c r="C74" s="1213"/>
      <c r="D74" s="1214"/>
      <c r="E74" s="1214"/>
      <c r="F74" s="1214"/>
      <c r="G74" s="1214"/>
      <c r="H74" s="1214"/>
      <c r="I74" s="1214"/>
      <c r="J74" s="1214"/>
      <c r="K74" s="1214"/>
      <c r="L74" s="1214"/>
      <c r="M74" s="1214"/>
      <c r="N74" s="281"/>
      <c r="O74" s="1214"/>
      <c r="P74" s="1214"/>
      <c r="Q74" s="1214"/>
      <c r="R74" s="281"/>
      <c r="S74" s="1214"/>
      <c r="T74" s="1214"/>
    </row>
    <row r="75" spans="1:20" ht="13.5" thickBot="1">
      <c r="A75" s="1051"/>
      <c r="B75" s="1050"/>
      <c r="C75" s="1213"/>
      <c r="D75" s="1214"/>
      <c r="E75" s="1214"/>
      <c r="F75" s="1214"/>
      <c r="G75" s="1214"/>
      <c r="H75" s="1214"/>
      <c r="I75" s="1214"/>
      <c r="J75" s="1214"/>
      <c r="K75" s="1214"/>
      <c r="L75" s="1214"/>
      <c r="M75" s="1214"/>
      <c r="N75" s="281"/>
      <c r="O75" s="1214"/>
      <c r="P75" s="1214"/>
      <c r="Q75" s="1214"/>
      <c r="R75" s="281"/>
      <c r="S75" s="1214"/>
      <c r="T75" s="1214"/>
    </row>
    <row r="76" spans="1:20" ht="12.75">
      <c r="A76" s="1051"/>
      <c r="B76" s="1215"/>
      <c r="C76" s="1183"/>
      <c r="D76" s="1068" t="s">
        <v>462</v>
      </c>
      <c r="E76" s="1069"/>
      <c r="F76" s="1069"/>
      <c r="G76" s="1069"/>
      <c r="H76" s="1070"/>
      <c r="I76" s="1069" t="s">
        <v>463</v>
      </c>
      <c r="J76" s="1071"/>
      <c r="K76" s="1071"/>
      <c r="L76" s="1071"/>
      <c r="M76" s="1070"/>
      <c r="N76" s="281"/>
      <c r="O76" s="1028" t="s">
        <v>462</v>
      </c>
      <c r="P76" s="1029"/>
      <c r="Q76" s="1030"/>
      <c r="R76" s="281"/>
      <c r="S76" s="1028" t="s">
        <v>463</v>
      </c>
      <c r="T76" s="1030"/>
    </row>
    <row r="77" spans="1:20" ht="12.75">
      <c r="A77" s="1051"/>
      <c r="B77" s="1216" t="s">
        <v>804</v>
      </c>
      <c r="C77" s="1184" t="s">
        <v>531</v>
      </c>
      <c r="D77" s="1150" t="s">
        <v>532</v>
      </c>
      <c r="E77" s="1151" t="s">
        <v>533</v>
      </c>
      <c r="F77" s="1151" t="s">
        <v>529</v>
      </c>
      <c r="G77" s="1151" t="s">
        <v>534</v>
      </c>
      <c r="H77" s="1152" t="s">
        <v>535</v>
      </c>
      <c r="I77" s="1153" t="s">
        <v>464</v>
      </c>
      <c r="J77" s="1151" t="s">
        <v>750</v>
      </c>
      <c r="K77" s="1151" t="s">
        <v>836</v>
      </c>
      <c r="L77" s="1151" t="s">
        <v>837</v>
      </c>
      <c r="M77" s="1152" t="s">
        <v>838</v>
      </c>
      <c r="N77" s="281"/>
      <c r="O77" s="1031" t="s">
        <v>490</v>
      </c>
      <c r="P77" s="1032" t="s">
        <v>491</v>
      </c>
      <c r="Q77" s="1033" t="s">
        <v>881</v>
      </c>
      <c r="R77" s="281"/>
      <c r="S77" s="1031" t="s">
        <v>491</v>
      </c>
      <c r="T77" s="1033" t="s">
        <v>625</v>
      </c>
    </row>
    <row r="78" spans="1:20" ht="12.75">
      <c r="A78" s="1051"/>
      <c r="B78" s="1072" t="s">
        <v>809</v>
      </c>
      <c r="C78" s="1217"/>
      <c r="D78" s="1187"/>
      <c r="E78" s="1188"/>
      <c r="F78" s="1188"/>
      <c r="G78" s="1188"/>
      <c r="H78" s="1189"/>
      <c r="I78" s="1176"/>
      <c r="J78" s="1176"/>
      <c r="K78" s="1176"/>
      <c r="L78" s="1176"/>
      <c r="M78" s="1177"/>
      <c r="N78" s="281"/>
      <c r="O78" s="1175"/>
      <c r="P78" s="1176"/>
      <c r="Q78" s="1177"/>
      <c r="R78" s="281"/>
      <c r="S78" s="1175"/>
      <c r="T78" s="1177"/>
    </row>
    <row r="79" spans="1:20" ht="12.75">
      <c r="A79" s="1051"/>
      <c r="B79" s="1077" t="s">
        <v>418</v>
      </c>
      <c r="C79" s="1218"/>
      <c r="D79" s="1037"/>
      <c r="E79" s="1169"/>
      <c r="F79" s="1169"/>
      <c r="G79" s="1169"/>
      <c r="H79" s="1038"/>
      <c r="I79" s="1169"/>
      <c r="J79" s="1169"/>
      <c r="K79" s="1169"/>
      <c r="L79" s="1169"/>
      <c r="M79" s="1038"/>
      <c r="N79" s="281"/>
      <c r="O79" s="1034"/>
      <c r="P79" s="1035"/>
      <c r="Q79" s="1036"/>
      <c r="R79" s="281"/>
      <c r="S79" s="1037"/>
      <c r="T79" s="1038"/>
    </row>
    <row r="80" spans="1:20" ht="12.75">
      <c r="A80" s="1051"/>
      <c r="B80" s="1084" t="s">
        <v>709</v>
      </c>
      <c r="C80" s="1190" t="s">
        <v>849</v>
      </c>
      <c r="D80" s="331">
        <v>0</v>
      </c>
      <c r="E80" s="332">
        <v>0</v>
      </c>
      <c r="F80" s="332">
        <v>0</v>
      </c>
      <c r="G80" s="332">
        <v>27.97366408119658</v>
      </c>
      <c r="H80" s="333">
        <v>25.43840345228216</v>
      </c>
      <c r="I80" s="332">
        <v>25.226996820354664</v>
      </c>
      <c r="J80" s="334">
        <v>26.987440506563704</v>
      </c>
      <c r="K80" s="334">
        <v>29.54053049084746</v>
      </c>
      <c r="L80" s="334">
        <v>31.602534178947366</v>
      </c>
      <c r="M80" s="333">
        <v>33.74665010984394</v>
      </c>
      <c r="N80" s="281"/>
      <c r="O80" s="1039">
        <v>0</v>
      </c>
      <c r="P80" s="1040">
        <v>53.41206753347874</v>
      </c>
      <c r="Q80" s="1041">
        <v>53.41206753347874</v>
      </c>
      <c r="R80" s="281"/>
      <c r="S80" s="1039">
        <v>147.10415210655714</v>
      </c>
      <c r="T80" s="1042">
        <v>1.7541370124710507</v>
      </c>
    </row>
    <row r="81" spans="1:20" ht="12.75">
      <c r="A81" s="1051"/>
      <c r="B81" s="1084" t="s">
        <v>710</v>
      </c>
      <c r="C81" s="1190" t="s">
        <v>849</v>
      </c>
      <c r="D81" s="331">
        <v>43.16515178633204</v>
      </c>
      <c r="E81" s="332">
        <v>30.970736755514366</v>
      </c>
      <c r="F81" s="332">
        <v>58.95501497187336</v>
      </c>
      <c r="G81" s="332">
        <v>15.828514551282051</v>
      </c>
      <c r="H81" s="333">
        <v>12.222357908713693</v>
      </c>
      <c r="I81" s="332">
        <v>12.1169039845798</v>
      </c>
      <c r="J81" s="334">
        <v>12.997627596911197</v>
      </c>
      <c r="K81" s="334">
        <v>14.274618760677967</v>
      </c>
      <c r="L81" s="334">
        <v>15.256395810526316</v>
      </c>
      <c r="M81" s="333">
        <v>16.32902424669868</v>
      </c>
      <c r="N81" s="281"/>
      <c r="O81" s="1039">
        <v>133.09090351371978</v>
      </c>
      <c r="P81" s="1040">
        <v>28.050872459995745</v>
      </c>
      <c r="Q81" s="1041">
        <v>161.1417759737155</v>
      </c>
      <c r="R81" s="281"/>
      <c r="S81" s="1039">
        <v>70.97457039939395</v>
      </c>
      <c r="T81" s="1042">
        <v>-0.5595520157915418</v>
      </c>
    </row>
    <row r="82" spans="1:20" ht="12.75">
      <c r="A82" s="1051"/>
      <c r="B82" s="1219" t="s">
        <v>591</v>
      </c>
      <c r="C82" s="1190" t="s">
        <v>849</v>
      </c>
      <c r="D82" s="1039">
        <v>43.16515178633204</v>
      </c>
      <c r="E82" s="1220">
        <v>30.970736755514366</v>
      </c>
      <c r="F82" s="1220">
        <v>58.95501497187336</v>
      </c>
      <c r="G82" s="1220">
        <v>43.80217863247863</v>
      </c>
      <c r="H82" s="1041">
        <v>37.66076136099585</v>
      </c>
      <c r="I82" s="1220">
        <v>37.343900804934464</v>
      </c>
      <c r="J82" s="1040">
        <v>39.9850681034749</v>
      </c>
      <c r="K82" s="1040">
        <v>43.815149251525426</v>
      </c>
      <c r="L82" s="1040">
        <v>46.85892998947368</v>
      </c>
      <c r="M82" s="1041">
        <v>50.07567435654262</v>
      </c>
      <c r="N82" s="281"/>
      <c r="O82" s="1039">
        <v>133.09090351371978</v>
      </c>
      <c r="P82" s="1040">
        <v>81.46293999347448</v>
      </c>
      <c r="Q82" s="1041">
        <v>214.55384350719427</v>
      </c>
      <c r="R82" s="281"/>
      <c r="S82" s="1039">
        <v>218.07872250595108</v>
      </c>
      <c r="T82" s="1042">
        <v>0.016428878369818673</v>
      </c>
    </row>
    <row r="83" spans="1:20" ht="12.75">
      <c r="A83" s="1051"/>
      <c r="B83" s="1077" t="s">
        <v>419</v>
      </c>
      <c r="C83" s="1221"/>
      <c r="D83" s="1222"/>
      <c r="E83" s="1223"/>
      <c r="F83" s="1223"/>
      <c r="G83" s="1223"/>
      <c r="H83" s="1224"/>
      <c r="I83" s="1223"/>
      <c r="J83" s="1223"/>
      <c r="K83" s="1223"/>
      <c r="L83" s="1223"/>
      <c r="M83" s="1224"/>
      <c r="N83" s="281"/>
      <c r="O83" s="1225"/>
      <c r="P83" s="1223"/>
      <c r="Q83" s="1224"/>
      <c r="R83" s="281"/>
      <c r="S83" s="1222"/>
      <c r="T83" s="1224"/>
    </row>
    <row r="84" spans="1:20" ht="12.75">
      <c r="A84" s="1051"/>
      <c r="B84" s="1084" t="s">
        <v>709</v>
      </c>
      <c r="C84" s="1190" t="s">
        <v>849</v>
      </c>
      <c r="D84" s="331">
        <v>0</v>
      </c>
      <c r="E84" s="332">
        <v>0</v>
      </c>
      <c r="F84" s="332">
        <v>0</v>
      </c>
      <c r="G84" s="332">
        <v>5.674373141025641</v>
      </c>
      <c r="H84" s="333">
        <v>8.943188713692946</v>
      </c>
      <c r="I84" s="332">
        <v>9.733250741711643</v>
      </c>
      <c r="J84" s="334">
        <v>9.624197533590733</v>
      </c>
      <c r="K84" s="334">
        <v>9.912929694915254</v>
      </c>
      <c r="L84" s="334">
        <v>10.104885536842104</v>
      </c>
      <c r="M84" s="333">
        <v>10.391197247899159</v>
      </c>
      <c r="N84" s="281"/>
      <c r="O84" s="1039">
        <v>0</v>
      </c>
      <c r="P84" s="1040">
        <v>14.617561854718588</v>
      </c>
      <c r="Q84" s="1041">
        <v>14.617561854718588</v>
      </c>
      <c r="R84" s="281"/>
      <c r="S84" s="1039">
        <v>49.76646075495889</v>
      </c>
      <c r="T84" s="1042">
        <v>2.404566455718068</v>
      </c>
    </row>
    <row r="85" spans="1:20" ht="12.75">
      <c r="A85" s="1051"/>
      <c r="B85" s="1084" t="s">
        <v>710</v>
      </c>
      <c r="C85" s="1190" t="s">
        <v>849</v>
      </c>
      <c r="D85" s="331">
        <v>10.766365803519308</v>
      </c>
      <c r="E85" s="332">
        <v>7.667995916960148</v>
      </c>
      <c r="F85" s="332">
        <v>32.12100646521696</v>
      </c>
      <c r="G85" s="332">
        <v>11.149645470085469</v>
      </c>
      <c r="H85" s="333">
        <v>19.078802589211616</v>
      </c>
      <c r="I85" s="332">
        <v>20.75764698997687</v>
      </c>
      <c r="J85" s="334">
        <v>19.3476135984556</v>
      </c>
      <c r="K85" s="334">
        <v>19.82585938983051</v>
      </c>
      <c r="L85" s="334">
        <v>20.30883857894737</v>
      </c>
      <c r="M85" s="333">
        <v>20.881358279111645</v>
      </c>
      <c r="N85" s="281"/>
      <c r="O85" s="1039">
        <v>50.555368185696416</v>
      </c>
      <c r="P85" s="1040">
        <v>30.228448059297087</v>
      </c>
      <c r="Q85" s="1041">
        <v>80.7838162449935</v>
      </c>
      <c r="R85" s="281"/>
      <c r="S85" s="1039">
        <v>101.121316836322</v>
      </c>
      <c r="T85" s="1042">
        <v>0.2517521644391105</v>
      </c>
    </row>
    <row r="86" spans="1:20" ht="12.75">
      <c r="A86" s="1051"/>
      <c r="B86" s="1219" t="s">
        <v>592</v>
      </c>
      <c r="C86" s="1190" t="s">
        <v>849</v>
      </c>
      <c r="D86" s="1039">
        <v>10.766365803519308</v>
      </c>
      <c r="E86" s="1220">
        <v>7.667995916960148</v>
      </c>
      <c r="F86" s="1220">
        <v>32.12100646521696</v>
      </c>
      <c r="G86" s="1220">
        <v>16.82401861111111</v>
      </c>
      <c r="H86" s="1041">
        <v>28.02199130290456</v>
      </c>
      <c r="I86" s="1220">
        <v>30.490897731688513</v>
      </c>
      <c r="J86" s="1040">
        <v>28.971811132046334</v>
      </c>
      <c r="K86" s="1040">
        <v>29.73878908474576</v>
      </c>
      <c r="L86" s="1040">
        <v>30.413724115789474</v>
      </c>
      <c r="M86" s="1041">
        <v>31.2725555270108</v>
      </c>
      <c r="N86" s="281"/>
      <c r="O86" s="1039">
        <v>50.555368185696416</v>
      </c>
      <c r="P86" s="1040">
        <v>44.84600991401567</v>
      </c>
      <c r="Q86" s="1041">
        <v>95.40137809971208</v>
      </c>
      <c r="R86" s="281"/>
      <c r="S86" s="1039">
        <v>150.8877775912809</v>
      </c>
      <c r="T86" s="1042">
        <v>0.5816100416660153</v>
      </c>
    </row>
    <row r="87" spans="1:20" ht="12.75">
      <c r="A87" s="1051"/>
      <c r="B87" s="1077" t="s">
        <v>568</v>
      </c>
      <c r="C87" s="1221"/>
      <c r="D87" s="1222"/>
      <c r="E87" s="1223"/>
      <c r="F87" s="1223"/>
      <c r="G87" s="1223"/>
      <c r="H87" s="1224"/>
      <c r="I87" s="1223"/>
      <c r="J87" s="1223"/>
      <c r="K87" s="1223"/>
      <c r="L87" s="1223"/>
      <c r="M87" s="1224"/>
      <c r="N87" s="281"/>
      <c r="O87" s="1222"/>
      <c r="P87" s="1223"/>
      <c r="Q87" s="1224"/>
      <c r="R87" s="281"/>
      <c r="S87" s="1222"/>
      <c r="T87" s="1224"/>
    </row>
    <row r="88" spans="1:20" ht="12.75">
      <c r="A88" s="1051"/>
      <c r="B88" s="1084" t="s">
        <v>709</v>
      </c>
      <c r="C88" s="1190" t="s">
        <v>849</v>
      </c>
      <c r="D88" s="331">
        <v>0</v>
      </c>
      <c r="E88" s="332">
        <v>0</v>
      </c>
      <c r="F88" s="332">
        <v>0</v>
      </c>
      <c r="G88" s="332">
        <v>0</v>
      </c>
      <c r="H88" s="333">
        <v>0</v>
      </c>
      <c r="I88" s="332">
        <v>0</v>
      </c>
      <c r="J88" s="334">
        <v>0</v>
      </c>
      <c r="K88" s="334">
        <v>0</v>
      </c>
      <c r="L88" s="334">
        <v>0</v>
      </c>
      <c r="M88" s="333">
        <v>0</v>
      </c>
      <c r="N88" s="281"/>
      <c r="O88" s="1039">
        <v>0</v>
      </c>
      <c r="P88" s="1040">
        <v>0</v>
      </c>
      <c r="Q88" s="1041">
        <v>0</v>
      </c>
      <c r="R88" s="281"/>
      <c r="S88" s="1039">
        <v>0</v>
      </c>
      <c r="T88" s="1042" t="s">
        <v>662</v>
      </c>
    </row>
    <row r="89" spans="1:20" ht="12.75">
      <c r="A89" s="1051"/>
      <c r="B89" s="1084" t="s">
        <v>710</v>
      </c>
      <c r="C89" s="1190" t="s">
        <v>849</v>
      </c>
      <c r="D89" s="331">
        <v>0.2990657167644252</v>
      </c>
      <c r="E89" s="332">
        <v>0.19916872511584802</v>
      </c>
      <c r="F89" s="332">
        <v>0.5985280707804401</v>
      </c>
      <c r="G89" s="332">
        <v>0</v>
      </c>
      <c r="H89" s="333">
        <v>0</v>
      </c>
      <c r="I89" s="332">
        <v>0</v>
      </c>
      <c r="J89" s="334">
        <v>0</v>
      </c>
      <c r="K89" s="334">
        <v>0</v>
      </c>
      <c r="L89" s="334">
        <v>0</v>
      </c>
      <c r="M89" s="333">
        <v>0</v>
      </c>
      <c r="N89" s="281"/>
      <c r="O89" s="1039">
        <v>1.0967625126607135</v>
      </c>
      <c r="P89" s="1040">
        <v>0</v>
      </c>
      <c r="Q89" s="1041">
        <v>1.0967625126607135</v>
      </c>
      <c r="R89" s="281"/>
      <c r="S89" s="1039">
        <v>0</v>
      </c>
      <c r="T89" s="1042">
        <v>-1</v>
      </c>
    </row>
    <row r="90" spans="1:20" ht="12.75">
      <c r="A90" s="1051"/>
      <c r="B90" s="1219" t="s">
        <v>593</v>
      </c>
      <c r="C90" s="1190" t="s">
        <v>849</v>
      </c>
      <c r="D90" s="1039">
        <v>0.2990657167644252</v>
      </c>
      <c r="E90" s="1220">
        <v>0.19916872511584802</v>
      </c>
      <c r="F90" s="1220">
        <v>0.5985280707804401</v>
      </c>
      <c r="G90" s="1220">
        <v>0</v>
      </c>
      <c r="H90" s="1041">
        <v>0</v>
      </c>
      <c r="I90" s="1220">
        <v>0</v>
      </c>
      <c r="J90" s="1040">
        <v>0</v>
      </c>
      <c r="K90" s="1040">
        <v>0</v>
      </c>
      <c r="L90" s="1040">
        <v>0</v>
      </c>
      <c r="M90" s="1041">
        <v>0</v>
      </c>
      <c r="N90" s="281"/>
      <c r="O90" s="1039">
        <v>1.0967625126607135</v>
      </c>
      <c r="P90" s="1040">
        <v>0</v>
      </c>
      <c r="Q90" s="1041">
        <v>1.0967625126607135</v>
      </c>
      <c r="R90" s="281"/>
      <c r="S90" s="1039">
        <v>0</v>
      </c>
      <c r="T90" s="1042">
        <v>-1</v>
      </c>
    </row>
    <row r="91" spans="1:20" ht="12.75">
      <c r="A91" s="1051"/>
      <c r="B91" s="1077" t="s">
        <v>693</v>
      </c>
      <c r="C91" s="1221"/>
      <c r="D91" s="1222"/>
      <c r="E91" s="1223"/>
      <c r="F91" s="1223"/>
      <c r="G91" s="1223"/>
      <c r="H91" s="1224"/>
      <c r="I91" s="1223"/>
      <c r="J91" s="1223"/>
      <c r="K91" s="1223"/>
      <c r="L91" s="1223"/>
      <c r="M91" s="1224"/>
      <c r="N91" s="281"/>
      <c r="O91" s="1222"/>
      <c r="P91" s="1223"/>
      <c r="Q91" s="1224"/>
      <c r="R91" s="281"/>
      <c r="S91" s="1222"/>
      <c r="T91" s="1224"/>
    </row>
    <row r="92" spans="1:20" ht="12.75">
      <c r="A92" s="1051"/>
      <c r="B92" s="1084" t="s">
        <v>709</v>
      </c>
      <c r="C92" s="1190" t="s">
        <v>849</v>
      </c>
      <c r="D92" s="331">
        <v>0</v>
      </c>
      <c r="E92" s="332">
        <v>0</v>
      </c>
      <c r="F92" s="332">
        <v>0</v>
      </c>
      <c r="G92" s="332">
        <v>0</v>
      </c>
      <c r="H92" s="333">
        <v>0</v>
      </c>
      <c r="I92" s="332">
        <v>0</v>
      </c>
      <c r="J92" s="334">
        <v>0</v>
      </c>
      <c r="K92" s="334">
        <v>0</v>
      </c>
      <c r="L92" s="334">
        <v>0</v>
      </c>
      <c r="M92" s="333">
        <v>0</v>
      </c>
      <c r="N92" s="281"/>
      <c r="O92" s="1039">
        <v>0</v>
      </c>
      <c r="P92" s="1040">
        <v>0</v>
      </c>
      <c r="Q92" s="1041">
        <v>0</v>
      </c>
      <c r="R92" s="281"/>
      <c r="S92" s="1039">
        <v>0</v>
      </c>
      <c r="T92" s="1042" t="s">
        <v>662</v>
      </c>
    </row>
    <row r="93" spans="1:20" ht="12.75">
      <c r="A93" s="1051"/>
      <c r="B93" s="1084" t="s">
        <v>710</v>
      </c>
      <c r="C93" s="1190" t="s">
        <v>849</v>
      </c>
      <c r="D93" s="331">
        <v>0</v>
      </c>
      <c r="E93" s="332">
        <v>0</v>
      </c>
      <c r="F93" s="332">
        <v>0</v>
      </c>
      <c r="G93" s="332">
        <v>0</v>
      </c>
      <c r="H93" s="333">
        <v>0</v>
      </c>
      <c r="I93" s="332">
        <v>0</v>
      </c>
      <c r="J93" s="334">
        <v>0</v>
      </c>
      <c r="K93" s="334">
        <v>0</v>
      </c>
      <c r="L93" s="334">
        <v>0</v>
      </c>
      <c r="M93" s="333">
        <v>0</v>
      </c>
      <c r="N93" s="281"/>
      <c r="O93" s="1039">
        <v>0</v>
      </c>
      <c r="P93" s="1040">
        <v>0</v>
      </c>
      <c r="Q93" s="1041">
        <v>0</v>
      </c>
      <c r="R93" s="281"/>
      <c r="S93" s="1039">
        <v>0</v>
      </c>
      <c r="T93" s="1042" t="s">
        <v>662</v>
      </c>
    </row>
    <row r="94" spans="1:20" ht="12.75">
      <c r="A94" s="1051"/>
      <c r="B94" s="1219" t="s">
        <v>703</v>
      </c>
      <c r="C94" s="1190" t="s">
        <v>849</v>
      </c>
      <c r="D94" s="1039">
        <v>0</v>
      </c>
      <c r="E94" s="1220">
        <v>0</v>
      </c>
      <c r="F94" s="1220">
        <v>0</v>
      </c>
      <c r="G94" s="1220">
        <v>0</v>
      </c>
      <c r="H94" s="1041">
        <v>0</v>
      </c>
      <c r="I94" s="1220">
        <v>0</v>
      </c>
      <c r="J94" s="1040">
        <v>0</v>
      </c>
      <c r="K94" s="1040">
        <v>0</v>
      </c>
      <c r="L94" s="1040">
        <v>0</v>
      </c>
      <c r="M94" s="1041">
        <v>0</v>
      </c>
      <c r="N94" s="281"/>
      <c r="O94" s="1039">
        <v>0</v>
      </c>
      <c r="P94" s="1040">
        <v>0</v>
      </c>
      <c r="Q94" s="1041">
        <v>0</v>
      </c>
      <c r="R94" s="281"/>
      <c r="S94" s="1039">
        <v>0</v>
      </c>
      <c r="T94" s="1042" t="s">
        <v>662</v>
      </c>
    </row>
    <row r="95" spans="1:20" ht="12.75">
      <c r="A95" s="1051"/>
      <c r="B95" s="1226"/>
      <c r="C95" s="1190"/>
      <c r="D95" s="1222"/>
      <c r="E95" s="1223"/>
      <c r="F95" s="1223"/>
      <c r="G95" s="1223"/>
      <c r="H95" s="1224"/>
      <c r="I95" s="1223"/>
      <c r="J95" s="1223"/>
      <c r="K95" s="1223"/>
      <c r="L95" s="1223"/>
      <c r="M95" s="1224"/>
      <c r="N95" s="281"/>
      <c r="O95" s="1222"/>
      <c r="P95" s="1223"/>
      <c r="Q95" s="1224"/>
      <c r="R95" s="281"/>
      <c r="S95" s="1222"/>
      <c r="T95" s="1224"/>
    </row>
    <row r="96" spans="1:20" ht="38.25">
      <c r="A96" s="1051"/>
      <c r="B96" s="1226" t="s">
        <v>704</v>
      </c>
      <c r="C96" s="1190" t="s">
        <v>849</v>
      </c>
      <c r="D96" s="335"/>
      <c r="E96" s="336"/>
      <c r="F96" s="336"/>
      <c r="G96" s="332">
        <v>0</v>
      </c>
      <c r="H96" s="333">
        <v>0</v>
      </c>
      <c r="I96" s="332">
        <v>0</v>
      </c>
      <c r="J96" s="334">
        <v>0</v>
      </c>
      <c r="K96" s="334">
        <v>0</v>
      </c>
      <c r="L96" s="334">
        <v>0</v>
      </c>
      <c r="M96" s="333">
        <v>0</v>
      </c>
      <c r="N96" s="281"/>
      <c r="O96" s="1039">
        <v>0</v>
      </c>
      <c r="P96" s="1040">
        <v>0</v>
      </c>
      <c r="Q96" s="1041">
        <v>0</v>
      </c>
      <c r="R96" s="281"/>
      <c r="S96" s="1039">
        <v>0</v>
      </c>
      <c r="T96" s="1042" t="s">
        <v>662</v>
      </c>
    </row>
    <row r="97" spans="1:20" ht="51">
      <c r="A97" s="1051"/>
      <c r="B97" s="1226" t="s">
        <v>705</v>
      </c>
      <c r="C97" s="1190" t="s">
        <v>849</v>
      </c>
      <c r="D97" s="1099">
        <v>54.23058330661577</v>
      </c>
      <c r="E97" s="1100">
        <v>38.837901397590365</v>
      </c>
      <c r="F97" s="1100">
        <v>91.67454950787075</v>
      </c>
      <c r="G97" s="1100">
        <v>60.62619724358974</v>
      </c>
      <c r="H97" s="1101">
        <v>65.6827526639004</v>
      </c>
      <c r="I97" s="1100">
        <v>67.83479853662297</v>
      </c>
      <c r="J97" s="1102">
        <v>68.95687923552123</v>
      </c>
      <c r="K97" s="1102">
        <v>73.55393833627119</v>
      </c>
      <c r="L97" s="1102">
        <v>77.27265410526316</v>
      </c>
      <c r="M97" s="1101">
        <v>81.34822988355342</v>
      </c>
      <c r="N97" s="337"/>
      <c r="O97" s="1099">
        <v>184.74303421207688</v>
      </c>
      <c r="P97" s="1102">
        <v>126.30894990749015</v>
      </c>
      <c r="Q97" s="1101">
        <v>311.051984119567</v>
      </c>
      <c r="R97" s="337"/>
      <c r="S97" s="1099">
        <v>368.966500097232</v>
      </c>
      <c r="T97" s="1227">
        <v>0.1861891868061606</v>
      </c>
    </row>
    <row r="98" spans="1:20" ht="12.75">
      <c r="A98" s="1051"/>
      <c r="B98" s="1226"/>
      <c r="C98" s="1190"/>
      <c r="D98" s="1222"/>
      <c r="E98" s="1223"/>
      <c r="F98" s="1223"/>
      <c r="G98" s="1223"/>
      <c r="H98" s="1224"/>
      <c r="I98" s="1223"/>
      <c r="J98" s="1223"/>
      <c r="K98" s="1223"/>
      <c r="L98" s="1223"/>
      <c r="M98" s="1224"/>
      <c r="N98" s="281"/>
      <c r="O98" s="1222"/>
      <c r="P98" s="1223"/>
      <c r="Q98" s="1224"/>
      <c r="R98" s="281"/>
      <c r="S98" s="1222"/>
      <c r="T98" s="1224"/>
    </row>
    <row r="99" spans="1:20" ht="25.5">
      <c r="A99" s="1051"/>
      <c r="B99" s="1226" t="s">
        <v>498</v>
      </c>
      <c r="C99" s="1155" t="s">
        <v>849</v>
      </c>
      <c r="D99" s="335"/>
      <c r="E99" s="336"/>
      <c r="F99" s="336"/>
      <c r="G99" s="332">
        <v>0</v>
      </c>
      <c r="H99" s="333">
        <v>0</v>
      </c>
      <c r="I99" s="332">
        <v>0</v>
      </c>
      <c r="J99" s="334">
        <v>0</v>
      </c>
      <c r="K99" s="334">
        <v>0</v>
      </c>
      <c r="L99" s="334">
        <v>0</v>
      </c>
      <c r="M99" s="333">
        <v>0</v>
      </c>
      <c r="N99" s="281"/>
      <c r="O99" s="1039">
        <v>0</v>
      </c>
      <c r="P99" s="1040">
        <v>0</v>
      </c>
      <c r="Q99" s="1041">
        <v>0</v>
      </c>
      <c r="R99" s="281"/>
      <c r="S99" s="1039">
        <v>0</v>
      </c>
      <c r="T99" s="1042" t="s">
        <v>662</v>
      </c>
    </row>
    <row r="100" spans="1:20" ht="26.25" thickBot="1">
      <c r="A100" s="1051"/>
      <c r="B100" s="1228" t="s">
        <v>631</v>
      </c>
      <c r="C100" s="1206" t="s">
        <v>849</v>
      </c>
      <c r="D100" s="338"/>
      <c r="E100" s="339"/>
      <c r="F100" s="339"/>
      <c r="G100" s="340">
        <v>0</v>
      </c>
      <c r="H100" s="341">
        <v>0</v>
      </c>
      <c r="I100" s="340">
        <v>0</v>
      </c>
      <c r="J100" s="342">
        <v>0</v>
      </c>
      <c r="K100" s="342">
        <v>0</v>
      </c>
      <c r="L100" s="342">
        <v>0</v>
      </c>
      <c r="M100" s="341">
        <v>0</v>
      </c>
      <c r="N100" s="281"/>
      <c r="O100" s="1043">
        <v>0</v>
      </c>
      <c r="P100" s="1044">
        <v>0</v>
      </c>
      <c r="Q100" s="1045">
        <v>0</v>
      </c>
      <c r="R100" s="281"/>
      <c r="S100" s="1043">
        <v>0</v>
      </c>
      <c r="T100" s="1046" t="s">
        <v>662</v>
      </c>
    </row>
    <row r="101" spans="1:20" ht="12.75">
      <c r="A101" s="1051"/>
      <c r="B101" s="1051"/>
      <c r="C101" s="1051"/>
      <c r="D101" s="1051"/>
      <c r="E101" s="1051"/>
      <c r="F101" s="1051"/>
      <c r="G101" s="1051"/>
      <c r="H101" s="1051"/>
      <c r="I101" s="1051"/>
      <c r="J101" s="1051"/>
      <c r="K101" s="1051"/>
      <c r="L101" s="1051"/>
      <c r="M101" s="1051"/>
      <c r="N101" s="1051"/>
      <c r="O101" s="1051"/>
      <c r="P101" s="1051"/>
      <c r="Q101" s="1051"/>
      <c r="R101" s="1051"/>
      <c r="S101" s="1051"/>
      <c r="T101" s="1051"/>
    </row>
    <row r="102" spans="1:20" ht="12.75">
      <c r="A102" s="1051"/>
      <c r="B102" s="1051"/>
      <c r="C102" s="1147"/>
      <c r="D102" s="1166"/>
      <c r="E102" s="1166"/>
      <c r="F102" s="1166"/>
      <c r="G102" s="1166"/>
      <c r="H102" s="1166"/>
      <c r="I102" s="1166"/>
      <c r="J102" s="1166"/>
      <c r="K102" s="1166"/>
      <c r="L102" s="1166"/>
      <c r="M102" s="1166"/>
      <c r="N102" s="281"/>
      <c r="O102" s="1166"/>
      <c r="P102" s="1166"/>
      <c r="Q102" s="1166"/>
      <c r="R102" s="281"/>
      <c r="S102" s="1166"/>
      <c r="T102" s="1166"/>
    </row>
    <row r="103" spans="1:20" ht="12.75">
      <c r="A103" s="1051"/>
      <c r="B103" s="1050" t="s">
        <v>931</v>
      </c>
      <c r="C103" s="1213"/>
      <c r="D103" s="1214"/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281"/>
      <c r="O103" s="1214"/>
      <c r="P103" s="1214"/>
      <c r="Q103" s="1214"/>
      <c r="R103" s="281"/>
      <c r="S103" s="1214"/>
      <c r="T103" s="1214"/>
    </row>
    <row r="104" spans="1:20" ht="13.5" thickBot="1">
      <c r="A104" s="1051"/>
      <c r="B104" s="1050"/>
      <c r="C104" s="1213"/>
      <c r="D104" s="1214"/>
      <c r="E104" s="1214"/>
      <c r="F104" s="1214"/>
      <c r="G104" s="1214"/>
      <c r="H104" s="1214"/>
      <c r="I104" s="1214"/>
      <c r="J104" s="1214"/>
      <c r="K104" s="1214"/>
      <c r="L104" s="1214"/>
      <c r="M104" s="1214"/>
      <c r="N104" s="281"/>
      <c r="O104" s="1214"/>
      <c r="P104" s="1214"/>
      <c r="Q104" s="1214"/>
      <c r="R104" s="281"/>
      <c r="S104" s="1214"/>
      <c r="T104" s="1214"/>
    </row>
    <row r="105" spans="1:20" ht="12.75">
      <c r="A105" s="1051"/>
      <c r="B105" s="1215"/>
      <c r="C105" s="1183"/>
      <c r="D105" s="1068" t="s">
        <v>462</v>
      </c>
      <c r="E105" s="1069"/>
      <c r="F105" s="1069"/>
      <c r="G105" s="1069"/>
      <c r="H105" s="1070"/>
      <c r="I105" s="1069" t="s">
        <v>463</v>
      </c>
      <c r="J105" s="1071"/>
      <c r="K105" s="1071"/>
      <c r="L105" s="1071"/>
      <c r="M105" s="1070"/>
      <c r="N105" s="281"/>
      <c r="O105" s="1028" t="s">
        <v>462</v>
      </c>
      <c r="P105" s="1029"/>
      <c r="Q105" s="1030"/>
      <c r="R105" s="281"/>
      <c r="S105" s="1028" t="s">
        <v>463</v>
      </c>
      <c r="T105" s="1030"/>
    </row>
    <row r="106" spans="1:20" ht="12.75">
      <c r="A106" s="1051"/>
      <c r="B106" s="1216" t="s">
        <v>931</v>
      </c>
      <c r="C106" s="1184" t="s">
        <v>531</v>
      </c>
      <c r="D106" s="1150" t="s">
        <v>532</v>
      </c>
      <c r="E106" s="1151" t="s">
        <v>533</v>
      </c>
      <c r="F106" s="1151" t="s">
        <v>529</v>
      </c>
      <c r="G106" s="1151" t="s">
        <v>534</v>
      </c>
      <c r="H106" s="1152" t="s">
        <v>535</v>
      </c>
      <c r="I106" s="1153" t="s">
        <v>464</v>
      </c>
      <c r="J106" s="1151" t="s">
        <v>750</v>
      </c>
      <c r="K106" s="1151" t="s">
        <v>836</v>
      </c>
      <c r="L106" s="1151" t="s">
        <v>837</v>
      </c>
      <c r="M106" s="1152" t="s">
        <v>838</v>
      </c>
      <c r="N106" s="281"/>
      <c r="O106" s="1031" t="s">
        <v>490</v>
      </c>
      <c r="P106" s="1032" t="s">
        <v>491</v>
      </c>
      <c r="Q106" s="1033" t="s">
        <v>881</v>
      </c>
      <c r="R106" s="281"/>
      <c r="S106" s="1031" t="s">
        <v>491</v>
      </c>
      <c r="T106" s="1033" t="s">
        <v>625</v>
      </c>
    </row>
    <row r="107" spans="1:20" ht="12.75">
      <c r="A107" s="1051"/>
      <c r="B107" s="1077" t="s">
        <v>932</v>
      </c>
      <c r="C107" s="1218"/>
      <c r="D107" s="1037"/>
      <c r="E107" s="1169"/>
      <c r="F107" s="1169"/>
      <c r="G107" s="1169"/>
      <c r="H107" s="1038"/>
      <c r="I107" s="1169"/>
      <c r="J107" s="1169"/>
      <c r="K107" s="1169"/>
      <c r="L107" s="1169"/>
      <c r="M107" s="1038"/>
      <c r="N107" s="281"/>
      <c r="O107" s="1034"/>
      <c r="P107" s="1035"/>
      <c r="Q107" s="1036"/>
      <c r="R107" s="281"/>
      <c r="S107" s="1037"/>
      <c r="T107" s="1038"/>
    </row>
    <row r="108" spans="1:20" ht="12.75">
      <c r="A108" s="1051"/>
      <c r="B108" s="1084" t="s">
        <v>709</v>
      </c>
      <c r="C108" s="1190" t="s">
        <v>849</v>
      </c>
      <c r="D108" s="331">
        <v>0</v>
      </c>
      <c r="E108" s="332">
        <v>0</v>
      </c>
      <c r="F108" s="332">
        <v>0</v>
      </c>
      <c r="G108" s="332">
        <v>28.1</v>
      </c>
      <c r="H108" s="333">
        <v>25.6</v>
      </c>
      <c r="I108" s="332">
        <v>25.4</v>
      </c>
      <c r="J108" s="334">
        <v>27.2</v>
      </c>
      <c r="K108" s="334">
        <v>29.8</v>
      </c>
      <c r="L108" s="334">
        <v>31.9</v>
      </c>
      <c r="M108" s="333">
        <v>34.1</v>
      </c>
      <c r="N108" s="281"/>
      <c r="O108" s="1039">
        <v>0</v>
      </c>
      <c r="P108" s="1040">
        <v>53.7</v>
      </c>
      <c r="Q108" s="1041">
        <v>53.7</v>
      </c>
      <c r="R108" s="281"/>
      <c r="S108" s="1039">
        <v>148.4</v>
      </c>
      <c r="T108" s="1042">
        <v>1.763500931098696</v>
      </c>
    </row>
    <row r="109" spans="1:20" ht="12.75">
      <c r="A109" s="1051"/>
      <c r="B109" s="1084" t="s">
        <v>933</v>
      </c>
      <c r="C109" s="1190" t="s">
        <v>849</v>
      </c>
      <c r="D109" s="331">
        <v>38.1</v>
      </c>
      <c r="E109" s="332">
        <v>27.4</v>
      </c>
      <c r="F109" s="332">
        <v>49.1</v>
      </c>
      <c r="G109" s="332">
        <v>10.4</v>
      </c>
      <c r="H109" s="333">
        <v>9.5</v>
      </c>
      <c r="I109" s="332">
        <v>9.4</v>
      </c>
      <c r="J109" s="334">
        <v>10.1</v>
      </c>
      <c r="K109" s="334">
        <v>11</v>
      </c>
      <c r="L109" s="334">
        <v>11.8</v>
      </c>
      <c r="M109" s="333">
        <v>12.6</v>
      </c>
      <c r="N109" s="281"/>
      <c r="O109" s="1039">
        <v>114.6</v>
      </c>
      <c r="P109" s="1040">
        <v>19.9</v>
      </c>
      <c r="Q109" s="1041">
        <v>134.5</v>
      </c>
      <c r="R109" s="281"/>
      <c r="S109" s="1039">
        <v>54.9</v>
      </c>
      <c r="T109" s="1042">
        <v>-0.5918215613382899</v>
      </c>
    </row>
    <row r="110" spans="1:20" ht="12.75">
      <c r="A110" s="1051"/>
      <c r="B110" s="1219" t="s">
        <v>591</v>
      </c>
      <c r="C110" s="1190" t="s">
        <v>849</v>
      </c>
      <c r="D110" s="1039">
        <v>38.1</v>
      </c>
      <c r="E110" s="1220">
        <v>27.4</v>
      </c>
      <c r="F110" s="1220">
        <v>49.1</v>
      </c>
      <c r="G110" s="1220">
        <v>38.5</v>
      </c>
      <c r="H110" s="1041">
        <v>35.1</v>
      </c>
      <c r="I110" s="1220">
        <v>34.8</v>
      </c>
      <c r="J110" s="1040">
        <v>37.3</v>
      </c>
      <c r="K110" s="1040">
        <v>40.8</v>
      </c>
      <c r="L110" s="1040">
        <v>43.7</v>
      </c>
      <c r="M110" s="1041">
        <v>46.7</v>
      </c>
      <c r="N110" s="281"/>
      <c r="O110" s="1039">
        <v>114.6</v>
      </c>
      <c r="P110" s="1040">
        <v>73.6</v>
      </c>
      <c r="Q110" s="1041">
        <v>188.2</v>
      </c>
      <c r="R110" s="281"/>
      <c r="S110" s="1039">
        <v>203.3</v>
      </c>
      <c r="T110" s="1042">
        <v>0.08023379383634444</v>
      </c>
    </row>
    <row r="111" spans="1:20" ht="12.75">
      <c r="A111" s="1051"/>
      <c r="B111" s="1077" t="s">
        <v>611</v>
      </c>
      <c r="C111" s="1221"/>
      <c r="D111" s="1222"/>
      <c r="E111" s="1223"/>
      <c r="F111" s="1223"/>
      <c r="G111" s="1223"/>
      <c r="H111" s="1224"/>
      <c r="I111" s="1223"/>
      <c r="J111" s="1223"/>
      <c r="K111" s="1223"/>
      <c r="L111" s="1223"/>
      <c r="M111" s="1224"/>
      <c r="N111" s="281"/>
      <c r="O111" s="1225"/>
      <c r="P111" s="1223"/>
      <c r="Q111" s="1224"/>
      <c r="R111" s="281"/>
      <c r="S111" s="1222"/>
      <c r="T111" s="1224"/>
    </row>
    <row r="112" spans="1:20" ht="12.75">
      <c r="A112" s="1051"/>
      <c r="B112" s="1084" t="s">
        <v>709</v>
      </c>
      <c r="C112" s="1190" t="s">
        <v>849</v>
      </c>
      <c r="D112" s="331">
        <v>0</v>
      </c>
      <c r="E112" s="332">
        <v>0</v>
      </c>
      <c r="F112" s="332">
        <v>0</v>
      </c>
      <c r="G112" s="332">
        <v>5.7</v>
      </c>
      <c r="H112" s="333">
        <v>9</v>
      </c>
      <c r="I112" s="332">
        <v>9.8</v>
      </c>
      <c r="J112" s="334">
        <v>9.7</v>
      </c>
      <c r="K112" s="334">
        <v>10</v>
      </c>
      <c r="L112" s="334">
        <v>10.2</v>
      </c>
      <c r="M112" s="333">
        <v>10.5</v>
      </c>
      <c r="N112" s="281"/>
      <c r="O112" s="1039">
        <v>0</v>
      </c>
      <c r="P112" s="1040">
        <v>14.7</v>
      </c>
      <c r="Q112" s="1041">
        <v>14.7</v>
      </c>
      <c r="R112" s="281"/>
      <c r="S112" s="1039">
        <v>50.2</v>
      </c>
      <c r="T112" s="1042">
        <v>2.414965986394558</v>
      </c>
    </row>
    <row r="113" spans="1:20" ht="12.75">
      <c r="A113" s="1051"/>
      <c r="B113" s="1084" t="s">
        <v>933</v>
      </c>
      <c r="C113" s="1190" t="s">
        <v>849</v>
      </c>
      <c r="D113" s="331">
        <v>9.5</v>
      </c>
      <c r="E113" s="332">
        <v>6.8</v>
      </c>
      <c r="F113" s="332">
        <v>24.9</v>
      </c>
      <c r="G113" s="332">
        <v>3.5</v>
      </c>
      <c r="H113" s="333">
        <v>5.5</v>
      </c>
      <c r="I113" s="332">
        <v>6</v>
      </c>
      <c r="J113" s="334">
        <v>6</v>
      </c>
      <c r="K113" s="334">
        <v>6.1</v>
      </c>
      <c r="L113" s="334">
        <v>6.3</v>
      </c>
      <c r="M113" s="333">
        <v>6.4</v>
      </c>
      <c r="N113" s="281"/>
      <c r="O113" s="1039">
        <v>41.2</v>
      </c>
      <c r="P113" s="1040">
        <v>9</v>
      </c>
      <c r="Q113" s="1041">
        <v>50.2</v>
      </c>
      <c r="R113" s="281"/>
      <c r="S113" s="1039">
        <v>30.8</v>
      </c>
      <c r="T113" s="1042">
        <v>-0.3864541832669322</v>
      </c>
    </row>
    <row r="114" spans="1:20" ht="12.75">
      <c r="A114" s="1051"/>
      <c r="B114" s="1219" t="s">
        <v>592</v>
      </c>
      <c r="C114" s="1190" t="s">
        <v>849</v>
      </c>
      <c r="D114" s="1039">
        <v>9.5</v>
      </c>
      <c r="E114" s="1220">
        <v>6.8</v>
      </c>
      <c r="F114" s="1220">
        <v>24.9</v>
      </c>
      <c r="G114" s="1220">
        <v>9.2</v>
      </c>
      <c r="H114" s="1041">
        <v>14.5</v>
      </c>
      <c r="I114" s="1220">
        <v>15.8</v>
      </c>
      <c r="J114" s="1040">
        <v>15.7</v>
      </c>
      <c r="K114" s="1040">
        <v>16.1</v>
      </c>
      <c r="L114" s="1040">
        <v>16.5</v>
      </c>
      <c r="M114" s="1041">
        <v>16.9</v>
      </c>
      <c r="N114" s="281"/>
      <c r="O114" s="1039">
        <v>41.2</v>
      </c>
      <c r="P114" s="1040">
        <v>23.7</v>
      </c>
      <c r="Q114" s="1041">
        <v>64.9</v>
      </c>
      <c r="R114" s="281"/>
      <c r="S114" s="1039">
        <v>81</v>
      </c>
      <c r="T114" s="1042">
        <v>0.24807395993836662</v>
      </c>
    </row>
    <row r="115" spans="1:20" ht="12.75">
      <c r="A115" s="1051"/>
      <c r="B115" s="1077" t="s">
        <v>469</v>
      </c>
      <c r="C115" s="1221"/>
      <c r="D115" s="1222"/>
      <c r="E115" s="1223"/>
      <c r="F115" s="1223"/>
      <c r="G115" s="1223"/>
      <c r="H115" s="1224"/>
      <c r="I115" s="1223"/>
      <c r="J115" s="1223"/>
      <c r="K115" s="1223"/>
      <c r="L115" s="1223"/>
      <c r="M115" s="1224"/>
      <c r="N115" s="281"/>
      <c r="O115" s="1222"/>
      <c r="P115" s="1223"/>
      <c r="Q115" s="1224"/>
      <c r="R115" s="281"/>
      <c r="S115" s="1222"/>
      <c r="T115" s="1224"/>
    </row>
    <row r="116" spans="1:20" ht="12.75">
      <c r="A116" s="1051"/>
      <c r="B116" s="1084" t="s">
        <v>709</v>
      </c>
      <c r="C116" s="1190" t="s">
        <v>849</v>
      </c>
      <c r="D116" s="331">
        <v>0</v>
      </c>
      <c r="E116" s="332">
        <v>0</v>
      </c>
      <c r="F116" s="332">
        <v>0</v>
      </c>
      <c r="G116" s="332">
        <v>0</v>
      </c>
      <c r="H116" s="333">
        <v>0</v>
      </c>
      <c r="I116" s="332">
        <v>0</v>
      </c>
      <c r="J116" s="334">
        <v>0</v>
      </c>
      <c r="K116" s="334">
        <v>0</v>
      </c>
      <c r="L116" s="334">
        <v>0</v>
      </c>
      <c r="M116" s="333">
        <v>0</v>
      </c>
      <c r="N116" s="281"/>
      <c r="O116" s="1039">
        <v>0</v>
      </c>
      <c r="P116" s="1040">
        <v>0</v>
      </c>
      <c r="Q116" s="1041">
        <v>0</v>
      </c>
      <c r="R116" s="281"/>
      <c r="S116" s="1039">
        <v>0</v>
      </c>
      <c r="T116" s="1042" t="s">
        <v>662</v>
      </c>
    </row>
    <row r="117" spans="1:20" ht="12.75">
      <c r="A117" s="1051"/>
      <c r="B117" s="1084" t="s">
        <v>933</v>
      </c>
      <c r="C117" s="1190" t="s">
        <v>849</v>
      </c>
      <c r="D117" s="331">
        <v>0.3</v>
      </c>
      <c r="E117" s="332">
        <v>0</v>
      </c>
      <c r="F117" s="332">
        <v>0.4</v>
      </c>
      <c r="G117" s="332">
        <v>0</v>
      </c>
      <c r="H117" s="333">
        <v>0</v>
      </c>
      <c r="I117" s="332">
        <v>0</v>
      </c>
      <c r="J117" s="334">
        <v>0</v>
      </c>
      <c r="K117" s="334">
        <v>0</v>
      </c>
      <c r="L117" s="334">
        <v>0</v>
      </c>
      <c r="M117" s="333">
        <v>0</v>
      </c>
      <c r="N117" s="281"/>
      <c r="O117" s="1039">
        <v>0.7</v>
      </c>
      <c r="P117" s="1040">
        <v>0</v>
      </c>
      <c r="Q117" s="1041">
        <v>0.7</v>
      </c>
      <c r="R117" s="281"/>
      <c r="S117" s="1039">
        <v>0</v>
      </c>
      <c r="T117" s="1042">
        <v>-1</v>
      </c>
    </row>
    <row r="118" spans="1:20" ht="12.75">
      <c r="A118" s="1051"/>
      <c r="B118" s="1219" t="s">
        <v>593</v>
      </c>
      <c r="C118" s="1190" t="s">
        <v>849</v>
      </c>
      <c r="D118" s="1039">
        <v>0.3</v>
      </c>
      <c r="E118" s="1220">
        <v>0</v>
      </c>
      <c r="F118" s="1220">
        <v>0.4</v>
      </c>
      <c r="G118" s="1220">
        <v>0</v>
      </c>
      <c r="H118" s="1041">
        <v>0</v>
      </c>
      <c r="I118" s="1220">
        <v>0</v>
      </c>
      <c r="J118" s="1040">
        <v>0</v>
      </c>
      <c r="K118" s="1040">
        <v>0</v>
      </c>
      <c r="L118" s="1040">
        <v>0</v>
      </c>
      <c r="M118" s="1041">
        <v>0</v>
      </c>
      <c r="N118" s="281"/>
      <c r="O118" s="1039">
        <v>0.7</v>
      </c>
      <c r="P118" s="1040">
        <v>0</v>
      </c>
      <c r="Q118" s="1041">
        <v>0.7</v>
      </c>
      <c r="R118" s="281"/>
      <c r="S118" s="1039">
        <v>0</v>
      </c>
      <c r="T118" s="1042">
        <v>-1</v>
      </c>
    </row>
    <row r="119" spans="1:20" ht="12.75">
      <c r="A119" s="1051"/>
      <c r="B119" s="1077" t="s">
        <v>291</v>
      </c>
      <c r="C119" s="1221"/>
      <c r="D119" s="1222"/>
      <c r="E119" s="1223"/>
      <c r="F119" s="1223"/>
      <c r="G119" s="1223"/>
      <c r="H119" s="1224"/>
      <c r="I119" s="1223"/>
      <c r="J119" s="1223"/>
      <c r="K119" s="1223"/>
      <c r="L119" s="1223"/>
      <c r="M119" s="1224"/>
      <c r="N119" s="281"/>
      <c r="O119" s="1222"/>
      <c r="P119" s="1223"/>
      <c r="Q119" s="1224"/>
      <c r="R119" s="281"/>
      <c r="S119" s="1222"/>
      <c r="T119" s="1224"/>
    </row>
    <row r="120" spans="1:20" ht="12.75">
      <c r="A120" s="1051"/>
      <c r="B120" s="1084" t="s">
        <v>709</v>
      </c>
      <c r="C120" s="1190" t="s">
        <v>849</v>
      </c>
      <c r="D120" s="331">
        <v>0</v>
      </c>
      <c r="E120" s="332">
        <v>0</v>
      </c>
      <c r="F120" s="332">
        <v>0</v>
      </c>
      <c r="G120" s="332">
        <v>0</v>
      </c>
      <c r="H120" s="333">
        <v>0</v>
      </c>
      <c r="I120" s="332">
        <v>0</v>
      </c>
      <c r="J120" s="334">
        <v>0</v>
      </c>
      <c r="K120" s="334">
        <v>0</v>
      </c>
      <c r="L120" s="334">
        <v>0</v>
      </c>
      <c r="M120" s="333">
        <v>0</v>
      </c>
      <c r="N120" s="281"/>
      <c r="O120" s="1039">
        <v>0</v>
      </c>
      <c r="P120" s="1040">
        <v>0</v>
      </c>
      <c r="Q120" s="1041">
        <v>0</v>
      </c>
      <c r="R120" s="281"/>
      <c r="S120" s="1039">
        <v>0</v>
      </c>
      <c r="T120" s="1042" t="s">
        <v>662</v>
      </c>
    </row>
    <row r="121" spans="1:20" ht="12.75">
      <c r="A121" s="1051"/>
      <c r="B121" s="1084" t="s">
        <v>933</v>
      </c>
      <c r="C121" s="1190" t="s">
        <v>849</v>
      </c>
      <c r="D121" s="331">
        <v>0</v>
      </c>
      <c r="E121" s="332">
        <v>0</v>
      </c>
      <c r="F121" s="332">
        <v>0</v>
      </c>
      <c r="G121" s="332">
        <v>0</v>
      </c>
      <c r="H121" s="333">
        <v>0</v>
      </c>
      <c r="I121" s="332">
        <v>0</v>
      </c>
      <c r="J121" s="334">
        <v>0</v>
      </c>
      <c r="K121" s="334">
        <v>0</v>
      </c>
      <c r="L121" s="334">
        <v>0</v>
      </c>
      <c r="M121" s="333">
        <v>0</v>
      </c>
      <c r="N121" s="281"/>
      <c r="O121" s="1039">
        <v>0</v>
      </c>
      <c r="P121" s="1040">
        <v>0</v>
      </c>
      <c r="Q121" s="1041">
        <v>0</v>
      </c>
      <c r="R121" s="281"/>
      <c r="S121" s="1039">
        <v>0</v>
      </c>
      <c r="T121" s="1042" t="s">
        <v>662</v>
      </c>
    </row>
    <row r="122" spans="1:20" ht="12.75">
      <c r="A122" s="1051"/>
      <c r="B122" s="1219" t="s">
        <v>703</v>
      </c>
      <c r="C122" s="1190" t="s">
        <v>849</v>
      </c>
      <c r="D122" s="1039">
        <v>0</v>
      </c>
      <c r="E122" s="1220">
        <v>0</v>
      </c>
      <c r="F122" s="1220">
        <v>0</v>
      </c>
      <c r="G122" s="1220">
        <v>0</v>
      </c>
      <c r="H122" s="1041">
        <v>0</v>
      </c>
      <c r="I122" s="1220">
        <v>0</v>
      </c>
      <c r="J122" s="1040">
        <v>0</v>
      </c>
      <c r="K122" s="1040">
        <v>0</v>
      </c>
      <c r="L122" s="1040">
        <v>0</v>
      </c>
      <c r="M122" s="1041">
        <v>0</v>
      </c>
      <c r="N122" s="281"/>
      <c r="O122" s="1039">
        <v>0</v>
      </c>
      <c r="P122" s="1040">
        <v>0</v>
      </c>
      <c r="Q122" s="1041">
        <v>0</v>
      </c>
      <c r="R122" s="281"/>
      <c r="S122" s="1039">
        <v>0</v>
      </c>
      <c r="T122" s="1042" t="s">
        <v>662</v>
      </c>
    </row>
    <row r="123" spans="1:20" ht="12.75">
      <c r="A123" s="1051"/>
      <c r="B123" s="1226"/>
      <c r="C123" s="1190"/>
      <c r="D123" s="1222"/>
      <c r="E123" s="1223"/>
      <c r="F123" s="1223"/>
      <c r="G123" s="1223"/>
      <c r="H123" s="1224"/>
      <c r="I123" s="1223"/>
      <c r="J123" s="1223"/>
      <c r="K123" s="1223"/>
      <c r="L123" s="1223"/>
      <c r="M123" s="1224"/>
      <c r="N123" s="281"/>
      <c r="O123" s="1222"/>
      <c r="P123" s="1223"/>
      <c r="Q123" s="1224"/>
      <c r="R123" s="281"/>
      <c r="S123" s="1222"/>
      <c r="T123" s="1224"/>
    </row>
    <row r="124" spans="1:20" ht="12.75">
      <c r="A124" s="1051"/>
      <c r="B124" s="1077" t="s">
        <v>584</v>
      </c>
      <c r="C124" s="1155" t="s">
        <v>849</v>
      </c>
      <c r="D124" s="1100">
        <v>47.9</v>
      </c>
      <c r="E124" s="1100">
        <v>34.2</v>
      </c>
      <c r="F124" s="1100">
        <v>74.4</v>
      </c>
      <c r="G124" s="1100">
        <v>47.7</v>
      </c>
      <c r="H124" s="1101">
        <v>49.6</v>
      </c>
      <c r="I124" s="1100">
        <v>50.6</v>
      </c>
      <c r="J124" s="1102">
        <v>53</v>
      </c>
      <c r="K124" s="1102">
        <v>56.9</v>
      </c>
      <c r="L124" s="1102">
        <v>60.2</v>
      </c>
      <c r="M124" s="1101">
        <v>63.6</v>
      </c>
      <c r="N124" s="337"/>
      <c r="O124" s="1099">
        <v>156.5</v>
      </c>
      <c r="P124" s="1102">
        <v>97.3</v>
      </c>
      <c r="Q124" s="1101">
        <v>253.8</v>
      </c>
      <c r="R124" s="337"/>
      <c r="S124" s="1099">
        <v>284.3</v>
      </c>
      <c r="T124" s="1227">
        <v>0.12017336485421604</v>
      </c>
    </row>
    <row r="125" spans="1:20" ht="12.75">
      <c r="A125" s="1051"/>
      <c r="B125" s="1077" t="s">
        <v>585</v>
      </c>
      <c r="C125" s="1155" t="s">
        <v>849</v>
      </c>
      <c r="D125" s="331">
        <v>12.7</v>
      </c>
      <c r="E125" s="332">
        <v>16.3</v>
      </c>
      <c r="F125" s="332">
        <v>7.4</v>
      </c>
      <c r="G125" s="332">
        <v>2.6</v>
      </c>
      <c r="H125" s="333">
        <v>4.5</v>
      </c>
      <c r="I125" s="332">
        <v>5.7</v>
      </c>
      <c r="J125" s="334">
        <v>5.9</v>
      </c>
      <c r="K125" s="334">
        <v>6.3</v>
      </c>
      <c r="L125" s="334">
        <v>6.7</v>
      </c>
      <c r="M125" s="333">
        <v>7</v>
      </c>
      <c r="N125" s="337"/>
      <c r="O125" s="1099">
        <v>36.4</v>
      </c>
      <c r="P125" s="1102">
        <v>7.1</v>
      </c>
      <c r="Q125" s="1101">
        <v>43.5</v>
      </c>
      <c r="R125" s="337"/>
      <c r="S125" s="1099">
        <v>31.6</v>
      </c>
      <c r="T125" s="1227">
        <v>-0.27356321839080455</v>
      </c>
    </row>
    <row r="126" spans="1:20" ht="12.75">
      <c r="A126" s="1051"/>
      <c r="B126" s="1077" t="s">
        <v>440</v>
      </c>
      <c r="C126" s="1155" t="s">
        <v>849</v>
      </c>
      <c r="D126" s="1099">
        <v>60.6</v>
      </c>
      <c r="E126" s="1100">
        <v>50.5</v>
      </c>
      <c r="F126" s="1100">
        <v>81.8</v>
      </c>
      <c r="G126" s="1100">
        <v>50.3</v>
      </c>
      <c r="H126" s="1101">
        <v>54.1</v>
      </c>
      <c r="I126" s="1100">
        <v>56.3</v>
      </c>
      <c r="J126" s="1102">
        <v>58.9</v>
      </c>
      <c r="K126" s="1102">
        <v>63.2</v>
      </c>
      <c r="L126" s="1102">
        <v>66.9</v>
      </c>
      <c r="M126" s="1101">
        <v>70.6</v>
      </c>
      <c r="N126" s="337"/>
      <c r="O126" s="1099">
        <v>192.9</v>
      </c>
      <c r="P126" s="1102">
        <v>104.4</v>
      </c>
      <c r="Q126" s="1101">
        <v>297.3</v>
      </c>
      <c r="R126" s="337"/>
      <c r="S126" s="1099">
        <v>315.9</v>
      </c>
      <c r="T126" s="1227">
        <v>0.06256306760847617</v>
      </c>
    </row>
    <row r="127" spans="1:20" ht="12.75">
      <c r="A127" s="1051"/>
      <c r="B127" s="1077"/>
      <c r="C127" s="1174"/>
      <c r="D127" s="1034"/>
      <c r="E127" s="1035"/>
      <c r="F127" s="1035"/>
      <c r="G127" s="1035"/>
      <c r="H127" s="1036"/>
      <c r="I127" s="1035"/>
      <c r="J127" s="1035"/>
      <c r="K127" s="1035"/>
      <c r="L127" s="1035"/>
      <c r="M127" s="1036"/>
      <c r="N127" s="281"/>
      <c r="O127" s="1222"/>
      <c r="P127" s="1223"/>
      <c r="Q127" s="1224"/>
      <c r="R127" s="281"/>
      <c r="S127" s="1222"/>
      <c r="T127" s="1224"/>
    </row>
    <row r="128" spans="1:20" ht="13.5" thickBot="1">
      <c r="A128" s="1051"/>
      <c r="B128" s="1085" t="s">
        <v>201</v>
      </c>
      <c r="C128" s="1165" t="s">
        <v>849</v>
      </c>
      <c r="D128" s="1087">
        <v>-6.369416693384224</v>
      </c>
      <c r="E128" s="1087">
        <v>-11.662098602409635</v>
      </c>
      <c r="F128" s="1087">
        <v>9.87454950787074</v>
      </c>
      <c r="G128" s="1087">
        <v>10.32619724358974</v>
      </c>
      <c r="H128" s="1088">
        <v>11.5827526639004</v>
      </c>
      <c r="I128" s="1087">
        <v>11.534798536622972</v>
      </c>
      <c r="J128" s="1089">
        <v>10.05687923552123</v>
      </c>
      <c r="K128" s="1089">
        <v>10.353938336271192</v>
      </c>
      <c r="L128" s="1089">
        <v>10.372654105263152</v>
      </c>
      <c r="M128" s="1088">
        <v>10.748229883553421</v>
      </c>
      <c r="N128" s="337"/>
      <c r="O128" s="1086">
        <v>-8.15696578792312</v>
      </c>
      <c r="P128" s="1089">
        <v>21.90894990749014</v>
      </c>
      <c r="Q128" s="1088">
        <v>13.75198411956702</v>
      </c>
      <c r="R128" s="337"/>
      <c r="S128" s="1086">
        <v>53.066500097231966</v>
      </c>
      <c r="T128" s="1090">
        <v>2.858824998330696</v>
      </c>
    </row>
    <row r="129" spans="1:20" ht="12.75">
      <c r="A129" s="1051"/>
      <c r="B129" s="1051"/>
      <c r="C129" s="1147"/>
      <c r="D129" s="1166"/>
      <c r="E129" s="1166"/>
      <c r="F129" s="1166"/>
      <c r="G129" s="1166"/>
      <c r="H129" s="1166"/>
      <c r="I129" s="1166"/>
      <c r="J129" s="1166"/>
      <c r="K129" s="1166"/>
      <c r="L129" s="1166"/>
      <c r="M129" s="1166"/>
      <c r="N129" s="1166"/>
      <c r="O129" s="1166"/>
      <c r="P129" s="1166"/>
      <c r="Q129" s="1166"/>
      <c r="R129" s="1166"/>
      <c r="S129" s="1166"/>
      <c r="T129" s="1166"/>
    </row>
    <row r="130" spans="1:20" ht="13.5" thickBot="1">
      <c r="A130" s="1051"/>
      <c r="B130" s="1051"/>
      <c r="C130" s="1147"/>
      <c r="D130" s="1166"/>
      <c r="E130" s="1166"/>
      <c r="F130" s="1166"/>
      <c r="G130" s="1166"/>
      <c r="H130" s="1166"/>
      <c r="I130" s="1166"/>
      <c r="J130" s="1166"/>
      <c r="K130" s="1166"/>
      <c r="L130" s="1166"/>
      <c r="M130" s="1166"/>
      <c r="N130" s="1166"/>
      <c r="O130" s="1166"/>
      <c r="P130" s="1166"/>
      <c r="Q130" s="1166"/>
      <c r="R130" s="1166"/>
      <c r="S130" s="1166"/>
      <c r="T130" s="1166"/>
    </row>
    <row r="131" spans="1:20" ht="12.75">
      <c r="A131" s="1051"/>
      <c r="B131" s="1215"/>
      <c r="C131" s="1148"/>
      <c r="D131" s="1068" t="s">
        <v>462</v>
      </c>
      <c r="E131" s="1069"/>
      <c r="F131" s="1069"/>
      <c r="G131" s="1069"/>
      <c r="H131" s="1070"/>
      <c r="I131" s="1069" t="s">
        <v>463</v>
      </c>
      <c r="J131" s="1071"/>
      <c r="K131" s="1071"/>
      <c r="L131" s="1071"/>
      <c r="M131" s="1070"/>
      <c r="N131" s="281"/>
      <c r="O131" s="1028" t="s">
        <v>462</v>
      </c>
      <c r="P131" s="1029"/>
      <c r="Q131" s="1030"/>
      <c r="R131" s="281"/>
      <c r="S131" s="1028" t="s">
        <v>463</v>
      </c>
      <c r="T131" s="1030"/>
    </row>
    <row r="132" spans="1:20" ht="12.75">
      <c r="A132" s="1051"/>
      <c r="B132" s="1180"/>
      <c r="C132" s="1149" t="s">
        <v>531</v>
      </c>
      <c r="D132" s="1150" t="s">
        <v>532</v>
      </c>
      <c r="E132" s="1151" t="s">
        <v>533</v>
      </c>
      <c r="F132" s="1151" t="s">
        <v>529</v>
      </c>
      <c r="G132" s="1151" t="s">
        <v>534</v>
      </c>
      <c r="H132" s="1152" t="s">
        <v>535</v>
      </c>
      <c r="I132" s="1153" t="s">
        <v>464</v>
      </c>
      <c r="J132" s="1151" t="s">
        <v>750</v>
      </c>
      <c r="K132" s="1151" t="s">
        <v>836</v>
      </c>
      <c r="L132" s="1151" t="s">
        <v>837</v>
      </c>
      <c r="M132" s="1152" t="s">
        <v>838</v>
      </c>
      <c r="N132" s="281"/>
      <c r="O132" s="1031" t="s">
        <v>490</v>
      </c>
      <c r="P132" s="1032" t="s">
        <v>491</v>
      </c>
      <c r="Q132" s="1033" t="s">
        <v>881</v>
      </c>
      <c r="R132" s="281"/>
      <c r="S132" s="1031" t="s">
        <v>491</v>
      </c>
      <c r="T132" s="1033" t="s">
        <v>625</v>
      </c>
    </row>
    <row r="133" spans="1:20" ht="25.5">
      <c r="A133" s="1051"/>
      <c r="B133" s="1229" t="s">
        <v>202</v>
      </c>
      <c r="C133" s="1230" t="s">
        <v>849</v>
      </c>
      <c r="D133" s="1156">
        <v>5.065151786332038</v>
      </c>
      <c r="E133" s="1157">
        <v>3.5707367555143676</v>
      </c>
      <c r="F133" s="1157">
        <v>9.85501497187336</v>
      </c>
      <c r="G133" s="1157">
        <v>5.428514551282051</v>
      </c>
      <c r="H133" s="1158">
        <v>2.7223579087136933</v>
      </c>
      <c r="I133" s="1157">
        <v>2.7169039845797993</v>
      </c>
      <c r="J133" s="1159">
        <v>2.8976275969111978</v>
      </c>
      <c r="K133" s="1159">
        <v>3.274618760677967</v>
      </c>
      <c r="L133" s="1159">
        <v>3.456395810526315</v>
      </c>
      <c r="M133" s="1158">
        <v>3.72902424669868</v>
      </c>
      <c r="N133" s="1166"/>
      <c r="O133" s="1231">
        <v>18.490903513719765</v>
      </c>
      <c r="P133" s="1232">
        <v>8.150872459995744</v>
      </c>
      <c r="Q133" s="1233">
        <v>26.641775973715507</v>
      </c>
      <c r="R133" s="281"/>
      <c r="S133" s="1231">
        <v>16.07457039939396</v>
      </c>
      <c r="T133" s="1234">
        <v>-0.3966404336087444</v>
      </c>
    </row>
    <row r="134" spans="1:20" ht="25.5">
      <c r="A134" s="1051"/>
      <c r="B134" s="1229" t="s">
        <v>143</v>
      </c>
      <c r="C134" s="1230" t="s">
        <v>849</v>
      </c>
      <c r="D134" s="1160">
        <v>1.2663658035193084</v>
      </c>
      <c r="E134" s="1161">
        <v>0.8679959169601483</v>
      </c>
      <c r="F134" s="1161">
        <v>7.221006465216959</v>
      </c>
      <c r="G134" s="1161">
        <v>7.649645470085469</v>
      </c>
      <c r="H134" s="1162">
        <v>13.578802589211616</v>
      </c>
      <c r="I134" s="1161">
        <v>14.75764698997687</v>
      </c>
      <c r="J134" s="1163">
        <v>13.347613598455599</v>
      </c>
      <c r="K134" s="1163">
        <v>13.725859389830509</v>
      </c>
      <c r="L134" s="1163">
        <v>14.008838578947369</v>
      </c>
      <c r="M134" s="1162">
        <v>14.481358279111644</v>
      </c>
      <c r="N134" s="1166"/>
      <c r="O134" s="1039">
        <v>9.355368185696417</v>
      </c>
      <c r="P134" s="1040">
        <v>21.228448059297087</v>
      </c>
      <c r="Q134" s="1041">
        <v>30.583816244993503</v>
      </c>
      <c r="R134" s="281"/>
      <c r="S134" s="1039">
        <v>70.32131683632198</v>
      </c>
      <c r="T134" s="1042">
        <v>1.2992983044695547</v>
      </c>
    </row>
    <row r="135" spans="1:20" ht="25.5">
      <c r="A135" s="1051"/>
      <c r="B135" s="1229" t="s">
        <v>206</v>
      </c>
      <c r="C135" s="1230" t="s">
        <v>849</v>
      </c>
      <c r="D135" s="1160">
        <v>-0.0009342832355747621</v>
      </c>
      <c r="E135" s="1161">
        <v>0.19916872511584802</v>
      </c>
      <c r="F135" s="1161">
        <v>0.1985280707804401</v>
      </c>
      <c r="G135" s="1161">
        <v>0</v>
      </c>
      <c r="H135" s="1162">
        <v>0</v>
      </c>
      <c r="I135" s="1161">
        <v>0</v>
      </c>
      <c r="J135" s="1163">
        <v>0</v>
      </c>
      <c r="K135" s="1163">
        <v>0</v>
      </c>
      <c r="L135" s="1163">
        <v>0</v>
      </c>
      <c r="M135" s="1162">
        <v>0</v>
      </c>
      <c r="N135" s="1166"/>
      <c r="O135" s="1039">
        <v>0.3967625126607134</v>
      </c>
      <c r="P135" s="1040">
        <v>0</v>
      </c>
      <c r="Q135" s="1041">
        <v>0.3967625126607134</v>
      </c>
      <c r="R135" s="281"/>
      <c r="S135" s="1039">
        <v>0</v>
      </c>
      <c r="T135" s="1042">
        <v>-1</v>
      </c>
    </row>
    <row r="136" spans="1:20" ht="26.25" thickBot="1">
      <c r="A136" s="1051"/>
      <c r="B136" s="1235" t="s">
        <v>207</v>
      </c>
      <c r="C136" s="1236" t="s">
        <v>849</v>
      </c>
      <c r="D136" s="1237">
        <v>0</v>
      </c>
      <c r="E136" s="1238">
        <v>0</v>
      </c>
      <c r="F136" s="1238">
        <v>0</v>
      </c>
      <c r="G136" s="1238">
        <v>0</v>
      </c>
      <c r="H136" s="1239">
        <v>0</v>
      </c>
      <c r="I136" s="1238">
        <v>0</v>
      </c>
      <c r="J136" s="1240">
        <v>0</v>
      </c>
      <c r="K136" s="1240">
        <v>0</v>
      </c>
      <c r="L136" s="1240">
        <v>0</v>
      </c>
      <c r="M136" s="1239">
        <v>0</v>
      </c>
      <c r="N136" s="1166"/>
      <c r="O136" s="1043">
        <v>0</v>
      </c>
      <c r="P136" s="1044">
        <v>0</v>
      </c>
      <c r="Q136" s="1045">
        <v>0</v>
      </c>
      <c r="R136" s="281"/>
      <c r="S136" s="1043">
        <v>0</v>
      </c>
      <c r="T136" s="1046" t="s">
        <v>662</v>
      </c>
    </row>
    <row r="137" spans="1:20" ht="12.75">
      <c r="A137" s="1241"/>
      <c r="B137" s="1241"/>
      <c r="C137" s="1242"/>
      <c r="D137" s="1081"/>
      <c r="E137" s="1081"/>
      <c r="F137" s="1081"/>
      <c r="G137" s="1081"/>
      <c r="H137" s="1081"/>
      <c r="I137" s="1081"/>
      <c r="J137" s="1081"/>
      <c r="K137" s="1081"/>
      <c r="L137" s="1081"/>
      <c r="M137" s="1081"/>
      <c r="N137" s="1081"/>
      <c r="O137" s="1166"/>
      <c r="P137" s="1166"/>
      <c r="Q137" s="1166"/>
      <c r="R137" s="1166"/>
      <c r="S137" s="1166"/>
      <c r="T137" s="1166"/>
    </row>
    <row r="138" spans="1:20" ht="12.75">
      <c r="A138" s="1051"/>
      <c r="B138" s="1051"/>
      <c r="C138" s="1147"/>
      <c r="D138" s="1166"/>
      <c r="E138" s="1166"/>
      <c r="F138" s="1166"/>
      <c r="G138" s="1166"/>
      <c r="H138" s="1166"/>
      <c r="I138" s="1166"/>
      <c r="J138" s="1166"/>
      <c r="K138" s="1166"/>
      <c r="L138" s="1166"/>
      <c r="M138" s="1166"/>
      <c r="N138" s="1166"/>
      <c r="O138" s="1166"/>
      <c r="P138" s="1166"/>
      <c r="Q138" s="1166"/>
      <c r="R138" s="1166"/>
      <c r="S138" s="1166"/>
      <c r="T138" s="1166"/>
    </row>
    <row r="139" spans="1:20" ht="12.75">
      <c r="A139" s="1051"/>
      <c r="B139" s="1051"/>
      <c r="C139" s="1147"/>
      <c r="D139" s="1166"/>
      <c r="E139" s="1166"/>
      <c r="F139" s="1166"/>
      <c r="G139" s="1166"/>
      <c r="H139" s="1166"/>
      <c r="I139" s="1166"/>
      <c r="J139" s="1166"/>
      <c r="K139" s="1166"/>
      <c r="L139" s="1166"/>
      <c r="M139" s="1166"/>
      <c r="N139" s="1166"/>
      <c r="O139" s="1166"/>
      <c r="P139" s="1166"/>
      <c r="Q139" s="1166"/>
      <c r="R139" s="1166"/>
      <c r="S139" s="1166"/>
      <c r="T139" s="1166"/>
    </row>
    <row r="140" spans="1:20" ht="12.75">
      <c r="A140" s="1051"/>
      <c r="B140" s="1051"/>
      <c r="C140" s="1147"/>
      <c r="D140" s="1166"/>
      <c r="E140" s="1166"/>
      <c r="F140" s="1166"/>
      <c r="G140" s="1166"/>
      <c r="H140" s="1166"/>
      <c r="I140" s="1166"/>
      <c r="J140" s="1166"/>
      <c r="K140" s="1166"/>
      <c r="L140" s="1166"/>
      <c r="M140" s="1166"/>
      <c r="N140" s="1166"/>
      <c r="O140" s="1166"/>
      <c r="P140" s="1166"/>
      <c r="Q140" s="1166"/>
      <c r="R140" s="1166"/>
      <c r="S140" s="1166"/>
      <c r="T140" s="1166"/>
    </row>
    <row r="141" spans="1:20" ht="12.75">
      <c r="A141" s="1051"/>
      <c r="B141" s="1051"/>
      <c r="C141" s="1147"/>
      <c r="D141" s="1166"/>
      <c r="E141" s="1166"/>
      <c r="F141" s="1166"/>
      <c r="G141" s="1166"/>
      <c r="H141" s="1166"/>
      <c r="I141" s="1166"/>
      <c r="J141" s="1166"/>
      <c r="K141" s="1166"/>
      <c r="L141" s="1166"/>
      <c r="M141" s="1166"/>
      <c r="N141" s="1166"/>
      <c r="O141" s="1166"/>
      <c r="P141" s="1166"/>
      <c r="Q141" s="1166"/>
      <c r="R141" s="1166"/>
      <c r="S141" s="1166"/>
      <c r="T141" s="1166"/>
    </row>
    <row r="142" spans="1:20" ht="12.75">
      <c r="A142" s="1051"/>
      <c r="B142" s="1051"/>
      <c r="C142" s="1147"/>
      <c r="D142" s="1166"/>
      <c r="E142" s="1166"/>
      <c r="F142" s="1166"/>
      <c r="G142" s="1166"/>
      <c r="H142" s="1166"/>
      <c r="I142" s="1166"/>
      <c r="J142" s="1166"/>
      <c r="K142" s="1166"/>
      <c r="L142" s="1166"/>
      <c r="M142" s="1166"/>
      <c r="N142" s="1166"/>
      <c r="O142" s="1166"/>
      <c r="P142" s="1166"/>
      <c r="Q142" s="1166"/>
      <c r="R142" s="1166"/>
      <c r="S142" s="1166"/>
      <c r="T142" s="1166"/>
    </row>
    <row r="143" spans="1:20" ht="12.75">
      <c r="A143" s="1051"/>
      <c r="B143" s="1051"/>
      <c r="C143" s="1147"/>
      <c r="D143" s="1166"/>
      <c r="E143" s="1166"/>
      <c r="F143" s="1166"/>
      <c r="G143" s="1166"/>
      <c r="H143" s="1166"/>
      <c r="I143" s="1166"/>
      <c r="J143" s="1166"/>
      <c r="K143" s="1166"/>
      <c r="L143" s="1166"/>
      <c r="M143" s="1166"/>
      <c r="N143" s="1166"/>
      <c r="O143" s="1166"/>
      <c r="P143" s="1166"/>
      <c r="Q143" s="1166"/>
      <c r="R143" s="1166"/>
      <c r="S143" s="1166"/>
      <c r="T143" s="1166"/>
    </row>
    <row r="144" spans="1:20" ht="12.75">
      <c r="A144" s="1051"/>
      <c r="B144" s="1051"/>
      <c r="C144" s="1147"/>
      <c r="D144" s="1166"/>
      <c r="E144" s="1166"/>
      <c r="F144" s="1166"/>
      <c r="G144" s="1166"/>
      <c r="H144" s="1166"/>
      <c r="I144" s="1166"/>
      <c r="J144" s="1166"/>
      <c r="K144" s="1166"/>
      <c r="L144" s="1166"/>
      <c r="M144" s="1166"/>
      <c r="N144" s="1166"/>
      <c r="O144" s="1166"/>
      <c r="P144" s="1166"/>
      <c r="Q144" s="1166"/>
      <c r="R144" s="1166"/>
      <c r="S144" s="1166"/>
      <c r="T144" s="1166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8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2" width="8.8515625" style="0" customWidth="1"/>
    <col min="3" max="3" width="17.00390625" style="0" customWidth="1"/>
  </cols>
  <sheetData>
    <row r="1" spans="1:7" ht="12.75">
      <c r="A1" s="862" t="s">
        <v>805</v>
      </c>
      <c r="G1" s="857" t="s">
        <v>55</v>
      </c>
    </row>
    <row r="2" ht="12.75">
      <c r="A2" s="862"/>
    </row>
    <row r="3" ht="12.75">
      <c r="A3" s="862" t="s">
        <v>357</v>
      </c>
    </row>
    <row r="5" spans="1:26" ht="12.75">
      <c r="A5" s="1051"/>
      <c r="B5" s="1050" t="s">
        <v>358</v>
      </c>
      <c r="C5" s="1050"/>
      <c r="D5" s="1051"/>
      <c r="E5" s="1051"/>
      <c r="F5" s="1051"/>
      <c r="G5" s="1051"/>
      <c r="H5" s="1051"/>
      <c r="I5" s="1051"/>
      <c r="J5" s="1051"/>
      <c r="K5" s="1051"/>
      <c r="L5" s="1051"/>
      <c r="M5" s="1051"/>
      <c r="N5" s="1051"/>
      <c r="O5" s="1051"/>
      <c r="P5" s="1051"/>
      <c r="Q5" s="1051"/>
      <c r="R5" s="1051"/>
      <c r="S5" s="1051"/>
      <c r="T5" s="1051"/>
      <c r="U5" s="1051"/>
      <c r="V5" s="1051"/>
      <c r="W5" s="1051"/>
      <c r="X5" s="1051"/>
      <c r="Y5" s="1051"/>
      <c r="Z5" s="1051"/>
    </row>
    <row r="6" spans="1:26" ht="13.5" thickBot="1">
      <c r="A6" s="1051"/>
      <c r="B6" s="1050"/>
      <c r="C6" s="1050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  <c r="O6" s="1051"/>
      <c r="P6" s="1051"/>
      <c r="Q6" s="1051"/>
      <c r="R6" s="1051"/>
      <c r="S6" s="1051"/>
      <c r="T6" s="1051"/>
      <c r="U6" s="1051"/>
      <c r="V6" s="1051"/>
      <c r="W6" s="1051"/>
      <c r="X6" s="1051"/>
      <c r="Y6" s="1051"/>
      <c r="Z6" s="1051"/>
    </row>
    <row r="7" spans="1:26" ht="12.75">
      <c r="A7" s="1051"/>
      <c r="B7" s="1050"/>
      <c r="C7" s="1091"/>
      <c r="D7" s="1068" t="s">
        <v>462</v>
      </c>
      <c r="E7" s="1069"/>
      <c r="F7" s="1069"/>
      <c r="G7" s="1069"/>
      <c r="H7" s="1070"/>
      <c r="I7" s="1069" t="s">
        <v>463</v>
      </c>
      <c r="J7" s="1071"/>
      <c r="K7" s="1071"/>
      <c r="L7" s="1071"/>
      <c r="M7" s="1070"/>
      <c r="N7" s="281"/>
      <c r="O7" s="1028" t="s">
        <v>462</v>
      </c>
      <c r="P7" s="1029"/>
      <c r="Q7" s="1030"/>
      <c r="R7" s="281"/>
      <c r="S7" s="1028" t="s">
        <v>463</v>
      </c>
      <c r="T7" s="1030"/>
      <c r="U7" s="1051"/>
      <c r="V7" s="1051"/>
      <c r="W7" s="1051"/>
      <c r="X7" s="1051"/>
      <c r="Y7" s="1051"/>
      <c r="Z7" s="1051"/>
    </row>
    <row r="8" spans="1:26" ht="12.75">
      <c r="A8" s="1051"/>
      <c r="B8" s="1051"/>
      <c r="C8" s="1092"/>
      <c r="D8" s="1031" t="s">
        <v>532</v>
      </c>
      <c r="E8" s="1032" t="s">
        <v>533</v>
      </c>
      <c r="F8" s="1032" t="s">
        <v>529</v>
      </c>
      <c r="G8" s="1032" t="s">
        <v>534</v>
      </c>
      <c r="H8" s="1033" t="s">
        <v>535</v>
      </c>
      <c r="I8" s="1093" t="s">
        <v>464</v>
      </c>
      <c r="J8" s="1032" t="s">
        <v>750</v>
      </c>
      <c r="K8" s="1032" t="s">
        <v>836</v>
      </c>
      <c r="L8" s="1032" t="s">
        <v>837</v>
      </c>
      <c r="M8" s="1033" t="s">
        <v>838</v>
      </c>
      <c r="N8" s="281"/>
      <c r="O8" s="1031" t="s">
        <v>490</v>
      </c>
      <c r="P8" s="1032" t="s">
        <v>491</v>
      </c>
      <c r="Q8" s="1033" t="s">
        <v>881</v>
      </c>
      <c r="R8" s="281"/>
      <c r="S8" s="1031" t="s">
        <v>491</v>
      </c>
      <c r="T8" s="1033" t="s">
        <v>625</v>
      </c>
      <c r="U8" s="1051"/>
      <c r="V8" s="1051"/>
      <c r="W8" s="1051"/>
      <c r="X8" s="1051"/>
      <c r="Y8" s="1051"/>
      <c r="Z8" s="1051"/>
    </row>
    <row r="9" spans="1:26" ht="12.75">
      <c r="A9" s="1051"/>
      <c r="B9" s="1051"/>
      <c r="C9" s="1094"/>
      <c r="D9" s="1074" t="s">
        <v>351</v>
      </c>
      <c r="E9" s="1075" t="s">
        <v>351</v>
      </c>
      <c r="F9" s="1075" t="s">
        <v>351</v>
      </c>
      <c r="G9" s="1075" t="s">
        <v>351</v>
      </c>
      <c r="H9" s="1076" t="s">
        <v>351</v>
      </c>
      <c r="I9" s="1095" t="s">
        <v>351</v>
      </c>
      <c r="J9" s="1075" t="s">
        <v>351</v>
      </c>
      <c r="K9" s="1075" t="s">
        <v>351</v>
      </c>
      <c r="L9" s="1075" t="s">
        <v>351</v>
      </c>
      <c r="M9" s="1076" t="s">
        <v>351</v>
      </c>
      <c r="N9" s="343"/>
      <c r="O9" s="1074" t="s">
        <v>351</v>
      </c>
      <c r="P9" s="1075" t="s">
        <v>351</v>
      </c>
      <c r="Q9" s="1076" t="s">
        <v>351</v>
      </c>
      <c r="R9" s="343"/>
      <c r="S9" s="1074" t="s">
        <v>351</v>
      </c>
      <c r="T9" s="1076" t="s">
        <v>351</v>
      </c>
      <c r="U9" s="1051"/>
      <c r="V9" s="1051"/>
      <c r="W9" s="1051"/>
      <c r="X9" s="1051"/>
      <c r="Y9" s="1051"/>
      <c r="Z9" s="1051"/>
    </row>
    <row r="10" spans="1:26" ht="12.75">
      <c r="A10" s="1051"/>
      <c r="B10" s="1051"/>
      <c r="C10" s="1096" t="s">
        <v>359</v>
      </c>
      <c r="D10" s="1078"/>
      <c r="E10" s="1079"/>
      <c r="F10" s="1079"/>
      <c r="G10" s="1079"/>
      <c r="H10" s="1080"/>
      <c r="I10" s="1079"/>
      <c r="J10" s="1079"/>
      <c r="K10" s="1079"/>
      <c r="L10" s="1079"/>
      <c r="M10" s="1080"/>
      <c r="N10" s="343"/>
      <c r="O10" s="1078"/>
      <c r="P10" s="1081"/>
      <c r="Q10" s="1082"/>
      <c r="R10" s="343"/>
      <c r="S10" s="1078"/>
      <c r="T10" s="1083"/>
      <c r="U10" s="1051"/>
      <c r="V10" s="1051"/>
      <c r="W10" s="1051"/>
      <c r="X10" s="1051"/>
      <c r="Y10" s="1051"/>
      <c r="Z10" s="1051"/>
    </row>
    <row r="11" spans="1:26" ht="12.75">
      <c r="A11" s="1051"/>
      <c r="B11" s="1051"/>
      <c r="C11" s="1097" t="s">
        <v>695</v>
      </c>
      <c r="D11" s="331">
        <v>0.5978778702290076</v>
      </c>
      <c r="E11" s="332">
        <v>1.4930413323059681</v>
      </c>
      <c r="F11" s="332">
        <v>1.2960606768848384</v>
      </c>
      <c r="G11" s="332">
        <v>1.4501552777777778</v>
      </c>
      <c r="H11" s="333">
        <v>0.7776191627692487</v>
      </c>
      <c r="I11" s="332">
        <v>0.9535202748431048</v>
      </c>
      <c r="J11" s="334">
        <v>0.9310333715280307</v>
      </c>
      <c r="K11" s="334">
        <v>0.9293410952301028</v>
      </c>
      <c r="L11" s="334">
        <v>0.9288514611689171</v>
      </c>
      <c r="M11" s="333">
        <v>0.9373135468029052</v>
      </c>
      <c r="N11" s="356"/>
      <c r="O11" s="1039">
        <v>3.3869798794198145</v>
      </c>
      <c r="P11" s="1040">
        <v>2.2277744405470266</v>
      </c>
      <c r="Q11" s="1041">
        <v>5.61475431996684</v>
      </c>
      <c r="R11" s="357"/>
      <c r="S11" s="1039">
        <v>4.6800597495730605</v>
      </c>
      <c r="T11" s="1042">
        <v>-0.1664711431931896</v>
      </c>
      <c r="U11" s="1051"/>
      <c r="V11" s="1051"/>
      <c r="W11" s="1051"/>
      <c r="X11" s="1051"/>
      <c r="Y11" s="1051"/>
      <c r="Z11" s="1051"/>
    </row>
    <row r="12" spans="1:26" ht="12.75">
      <c r="A12" s="1051"/>
      <c r="B12" s="1051"/>
      <c r="C12" s="1097" t="s">
        <v>566</v>
      </c>
      <c r="D12" s="331">
        <v>4.1851450916030535</v>
      </c>
      <c r="E12" s="332">
        <v>5.275412707481087</v>
      </c>
      <c r="F12" s="332">
        <v>3.8881820306545154</v>
      </c>
      <c r="G12" s="332">
        <v>3.2349617735042733</v>
      </c>
      <c r="H12" s="333">
        <v>3.665918910197887</v>
      </c>
      <c r="I12" s="332">
        <v>4.343814585396365</v>
      </c>
      <c r="J12" s="334">
        <v>4.241374248072139</v>
      </c>
      <c r="K12" s="334">
        <v>4.2336649893815785</v>
      </c>
      <c r="L12" s="334">
        <v>4.231434434213956</v>
      </c>
      <c r="M12" s="333">
        <v>4.269983935435457</v>
      </c>
      <c r="N12" s="356"/>
      <c r="O12" s="1039">
        <v>13.348739829738657</v>
      </c>
      <c r="P12" s="1040">
        <v>6.900880683702161</v>
      </c>
      <c r="Q12" s="1041">
        <v>20.249620513440817</v>
      </c>
      <c r="R12" s="357"/>
      <c r="S12" s="1039">
        <v>21.320272192499495</v>
      </c>
      <c r="T12" s="1042">
        <v>0.05287267869281923</v>
      </c>
      <c r="U12" s="1051"/>
      <c r="V12" s="1051"/>
      <c r="W12" s="1051"/>
      <c r="X12" s="1051"/>
      <c r="Y12" s="1051"/>
      <c r="Z12" s="1051"/>
    </row>
    <row r="13" spans="1:26" ht="12.75">
      <c r="A13" s="1051"/>
      <c r="B13" s="1051"/>
      <c r="C13" s="1097" t="s">
        <v>567</v>
      </c>
      <c r="D13" s="331">
        <v>10.861447975826973</v>
      </c>
      <c r="E13" s="332">
        <v>6.668917950966658</v>
      </c>
      <c r="F13" s="332">
        <v>3.1903032046396027</v>
      </c>
      <c r="G13" s="332">
        <v>0.22310081196581197</v>
      </c>
      <c r="H13" s="333">
        <v>3.44374200654953</v>
      </c>
      <c r="I13" s="332">
        <v>18.328778616428572</v>
      </c>
      <c r="J13" s="334">
        <v>13.758604268136454</v>
      </c>
      <c r="K13" s="334">
        <v>15.07597776706611</v>
      </c>
      <c r="L13" s="334">
        <v>11.249423251934662</v>
      </c>
      <c r="M13" s="333">
        <v>12.289222058082537</v>
      </c>
      <c r="N13" s="356"/>
      <c r="O13" s="1039">
        <v>20.720669131433233</v>
      </c>
      <c r="P13" s="1040">
        <v>3.666842818515342</v>
      </c>
      <c r="Q13" s="1041">
        <v>24.387511949948575</v>
      </c>
      <c r="R13" s="357"/>
      <c r="S13" s="1039">
        <v>70.70200596164833</v>
      </c>
      <c r="T13" s="1042">
        <v>1.8991069735507566</v>
      </c>
      <c r="U13" s="1051"/>
      <c r="V13" s="1051"/>
      <c r="W13" s="1051"/>
      <c r="X13" s="1051"/>
      <c r="Y13" s="1051"/>
      <c r="Z13" s="1051"/>
    </row>
    <row r="14" spans="1:26" ht="12.75">
      <c r="A14" s="1051"/>
      <c r="B14" s="1051"/>
      <c r="C14" s="1097" t="s">
        <v>553</v>
      </c>
      <c r="D14" s="331">
        <v>9.067814365139949</v>
      </c>
      <c r="E14" s="332">
        <v>12.24293892490894</v>
      </c>
      <c r="F14" s="332">
        <v>24.026971009942006</v>
      </c>
      <c r="G14" s="332">
        <v>14.724653589743589</v>
      </c>
      <c r="H14" s="333">
        <v>1.1108845182417841</v>
      </c>
      <c r="I14" s="332">
        <v>5.933015043468207</v>
      </c>
      <c r="J14" s="334">
        <v>16.241359925544533</v>
      </c>
      <c r="K14" s="334">
        <v>22.20092616383023</v>
      </c>
      <c r="L14" s="334">
        <v>25.491812323191386</v>
      </c>
      <c r="M14" s="333">
        <v>26.45307120977088</v>
      </c>
      <c r="N14" s="356"/>
      <c r="O14" s="1039">
        <v>45.337724299990896</v>
      </c>
      <c r="P14" s="1040">
        <v>15.835538107985373</v>
      </c>
      <c r="Q14" s="1041">
        <v>61.17326240797627</v>
      </c>
      <c r="R14" s="357"/>
      <c r="S14" s="1039">
        <v>96.32018466580523</v>
      </c>
      <c r="T14" s="1042">
        <v>0.5745471285057084</v>
      </c>
      <c r="U14" s="1051"/>
      <c r="V14" s="1051"/>
      <c r="W14" s="1051"/>
      <c r="X14" s="1051"/>
      <c r="Y14" s="1051"/>
      <c r="Z14" s="1051"/>
    </row>
    <row r="15" spans="1:26" ht="38.25">
      <c r="A15" s="1051"/>
      <c r="B15" s="1051"/>
      <c r="C15" s="1098" t="s">
        <v>212</v>
      </c>
      <c r="D15" s="335"/>
      <c r="E15" s="336"/>
      <c r="F15" s="336"/>
      <c r="G15" s="332">
        <v>0</v>
      </c>
      <c r="H15" s="333">
        <v>0</v>
      </c>
      <c r="I15" s="332">
        <v>0</v>
      </c>
      <c r="J15" s="334">
        <v>0</v>
      </c>
      <c r="K15" s="334">
        <v>0</v>
      </c>
      <c r="L15" s="334">
        <v>0</v>
      </c>
      <c r="M15" s="333">
        <v>0</v>
      </c>
      <c r="N15" s="357"/>
      <c r="O15" s="1039">
        <v>0</v>
      </c>
      <c r="P15" s="1040">
        <v>0</v>
      </c>
      <c r="Q15" s="1041">
        <v>0</v>
      </c>
      <c r="R15" s="357"/>
      <c r="S15" s="1039">
        <v>0</v>
      </c>
      <c r="T15" s="1042" t="s">
        <v>662</v>
      </c>
      <c r="U15" s="1051"/>
      <c r="V15" s="1051"/>
      <c r="W15" s="1051"/>
      <c r="X15" s="1051"/>
      <c r="Y15" s="1051"/>
      <c r="Z15" s="1051"/>
    </row>
    <row r="16" spans="1:26" ht="12.75">
      <c r="A16" s="1051"/>
      <c r="B16" s="1051"/>
      <c r="C16" s="1098" t="s">
        <v>881</v>
      </c>
      <c r="D16" s="1099">
        <v>24.712285302798982</v>
      </c>
      <c r="E16" s="1100">
        <v>25.680310915662652</v>
      </c>
      <c r="F16" s="1100">
        <v>32.40151692212096</v>
      </c>
      <c r="G16" s="1100">
        <v>19.632871452991452</v>
      </c>
      <c r="H16" s="1101">
        <v>8.99816459775845</v>
      </c>
      <c r="I16" s="1100">
        <v>29.559128520136248</v>
      </c>
      <c r="J16" s="1102">
        <v>35.17237181328116</v>
      </c>
      <c r="K16" s="1102">
        <v>42.43991001550802</v>
      </c>
      <c r="L16" s="1102">
        <v>41.901521470508925</v>
      </c>
      <c r="M16" s="1101">
        <v>43.94959075009177</v>
      </c>
      <c r="N16" s="358"/>
      <c r="O16" s="1099">
        <v>82.7941131405826</v>
      </c>
      <c r="P16" s="1102">
        <v>28.631036050749902</v>
      </c>
      <c r="Q16" s="1101">
        <v>111.4251491913325</v>
      </c>
      <c r="R16" s="358"/>
      <c r="S16" s="1099">
        <v>193.02252256952613</v>
      </c>
      <c r="T16" s="1103">
        <v>0.7323066109436352</v>
      </c>
      <c r="U16" s="1051"/>
      <c r="V16" s="1051"/>
      <c r="W16" s="1051"/>
      <c r="X16" s="1051"/>
      <c r="Y16" s="1051"/>
      <c r="Z16" s="1051"/>
    </row>
    <row r="17" spans="1:26" ht="12.75">
      <c r="A17" s="1051"/>
      <c r="B17" s="1051"/>
      <c r="C17" s="1098"/>
      <c r="D17" s="1104"/>
      <c r="E17" s="1105"/>
      <c r="F17" s="1105"/>
      <c r="G17" s="1105"/>
      <c r="H17" s="1106"/>
      <c r="I17" s="1105"/>
      <c r="J17" s="1105"/>
      <c r="K17" s="1105"/>
      <c r="L17" s="1105"/>
      <c r="M17" s="1106"/>
      <c r="N17" s="356"/>
      <c r="O17" s="1104"/>
      <c r="P17" s="1107"/>
      <c r="Q17" s="1108"/>
      <c r="R17" s="356"/>
      <c r="S17" s="1104"/>
      <c r="T17" s="1109"/>
      <c r="U17" s="1051"/>
      <c r="V17" s="1051"/>
      <c r="W17" s="1051"/>
      <c r="X17" s="1051"/>
      <c r="Y17" s="1051"/>
      <c r="Z17" s="1051"/>
    </row>
    <row r="18" spans="1:26" ht="38.25">
      <c r="A18" s="1051"/>
      <c r="B18" s="1051"/>
      <c r="C18" s="1098" t="s">
        <v>498</v>
      </c>
      <c r="D18" s="335"/>
      <c r="E18" s="336"/>
      <c r="F18" s="336"/>
      <c r="G18" s="332">
        <v>0</v>
      </c>
      <c r="H18" s="333">
        <v>0</v>
      </c>
      <c r="I18" s="332">
        <v>0</v>
      </c>
      <c r="J18" s="334">
        <v>0</v>
      </c>
      <c r="K18" s="334">
        <v>0</v>
      </c>
      <c r="L18" s="334">
        <v>0</v>
      </c>
      <c r="M18" s="333">
        <v>0</v>
      </c>
      <c r="N18" s="357"/>
      <c r="O18" s="1039">
        <v>0</v>
      </c>
      <c r="P18" s="1040">
        <v>0</v>
      </c>
      <c r="Q18" s="1041">
        <v>0</v>
      </c>
      <c r="R18" s="357"/>
      <c r="S18" s="1039">
        <v>0</v>
      </c>
      <c r="T18" s="1042" t="s">
        <v>662</v>
      </c>
      <c r="U18" s="1051"/>
      <c r="V18" s="1051"/>
      <c r="W18" s="1051"/>
      <c r="X18" s="1051"/>
      <c r="Y18" s="1051"/>
      <c r="Z18" s="1051"/>
    </row>
    <row r="19" spans="1:26" ht="39" thickBot="1">
      <c r="A19" s="1051"/>
      <c r="B19" s="1051"/>
      <c r="C19" s="1110" t="s">
        <v>631</v>
      </c>
      <c r="D19" s="338"/>
      <c r="E19" s="339"/>
      <c r="F19" s="339"/>
      <c r="G19" s="340">
        <v>0</v>
      </c>
      <c r="H19" s="341">
        <v>0</v>
      </c>
      <c r="I19" s="340">
        <v>0</v>
      </c>
      <c r="J19" s="342">
        <v>0</v>
      </c>
      <c r="K19" s="342">
        <v>0</v>
      </c>
      <c r="L19" s="342">
        <v>0</v>
      </c>
      <c r="M19" s="341">
        <v>0</v>
      </c>
      <c r="N19" s="357"/>
      <c r="O19" s="1043">
        <v>0</v>
      </c>
      <c r="P19" s="1044">
        <v>0</v>
      </c>
      <c r="Q19" s="1045">
        <v>0</v>
      </c>
      <c r="R19" s="357"/>
      <c r="S19" s="1043">
        <v>0</v>
      </c>
      <c r="T19" s="1046" t="s">
        <v>662</v>
      </c>
      <c r="U19" s="1051"/>
      <c r="V19" s="1051"/>
      <c r="W19" s="1051"/>
      <c r="X19" s="1051"/>
      <c r="Y19" s="1051"/>
      <c r="Z19" s="1051"/>
    </row>
    <row r="20" spans="1:26" ht="12.75">
      <c r="A20" s="1051"/>
      <c r="B20" s="1051"/>
      <c r="C20" s="1051"/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</row>
    <row r="21" spans="1:26" ht="12.75">
      <c r="A21" s="1051"/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</row>
    <row r="22" spans="1:26" ht="12.75">
      <c r="A22" s="1051"/>
      <c r="B22" s="1050" t="s">
        <v>753</v>
      </c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</row>
    <row r="23" spans="1:26" ht="13.5" thickBot="1">
      <c r="A23" s="1051"/>
      <c r="B23" s="1051"/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</row>
    <row r="24" spans="1:26" ht="12.75">
      <c r="A24" s="1051"/>
      <c r="B24" s="1111"/>
      <c r="C24" s="1029" t="s">
        <v>754</v>
      </c>
      <c r="D24" s="1029"/>
      <c r="E24" s="1029"/>
      <c r="F24" s="1112"/>
      <c r="G24" s="1069"/>
      <c r="H24" s="1113"/>
      <c r="I24" s="1114"/>
      <c r="J24" s="1068" t="s">
        <v>462</v>
      </c>
      <c r="K24" s="1069"/>
      <c r="L24" s="1069"/>
      <c r="M24" s="1069"/>
      <c r="N24" s="1070"/>
      <c r="O24" s="1069" t="s">
        <v>463</v>
      </c>
      <c r="P24" s="1071"/>
      <c r="Q24" s="1071"/>
      <c r="R24" s="1071"/>
      <c r="S24" s="1070"/>
      <c r="T24" s="1115" t="s">
        <v>755</v>
      </c>
      <c r="U24" s="1116"/>
      <c r="V24" s="1116"/>
      <c r="W24" s="1116"/>
      <c r="X24" s="1116"/>
      <c r="Y24" s="1116"/>
      <c r="Z24" s="1117"/>
    </row>
    <row r="25" spans="1:26" s="379" customFormat="1" ht="101.25" customHeight="1">
      <c r="A25" s="372"/>
      <c r="B25" s="373"/>
      <c r="C25" s="374" t="s">
        <v>756</v>
      </c>
      <c r="D25" s="375" t="s">
        <v>540</v>
      </c>
      <c r="E25" s="374" t="s">
        <v>541</v>
      </c>
      <c r="F25" s="376" t="s">
        <v>763</v>
      </c>
      <c r="G25" s="376" t="s">
        <v>764</v>
      </c>
      <c r="H25" s="377" t="s">
        <v>514</v>
      </c>
      <c r="I25" s="378" t="s">
        <v>524</v>
      </c>
      <c r="J25" s="377" t="s">
        <v>532</v>
      </c>
      <c r="K25" s="374" t="s">
        <v>533</v>
      </c>
      <c r="L25" s="374" t="s">
        <v>529</v>
      </c>
      <c r="M25" s="374" t="s">
        <v>534</v>
      </c>
      <c r="N25" s="378" t="s">
        <v>535</v>
      </c>
      <c r="O25" s="377" t="s">
        <v>464</v>
      </c>
      <c r="P25" s="374" t="s">
        <v>750</v>
      </c>
      <c r="Q25" s="374" t="s">
        <v>836</v>
      </c>
      <c r="R25" s="374" t="s">
        <v>837</v>
      </c>
      <c r="S25" s="378" t="s">
        <v>838</v>
      </c>
      <c r="T25" s="1456" t="s">
        <v>688</v>
      </c>
      <c r="U25" s="1457"/>
      <c r="V25" s="1457"/>
      <c r="W25" s="1457"/>
      <c r="X25" s="1457"/>
      <c r="Y25" s="1457"/>
      <c r="Z25" s="1458"/>
    </row>
    <row r="26" spans="1:26" ht="12.75">
      <c r="A26" s="1051"/>
      <c r="B26" s="1094"/>
      <c r="C26" s="1118" t="s">
        <v>689</v>
      </c>
      <c r="D26" s="1119" t="s">
        <v>690</v>
      </c>
      <c r="E26" s="1118" t="s">
        <v>691</v>
      </c>
      <c r="F26" s="1120" t="s">
        <v>895</v>
      </c>
      <c r="G26" s="1120" t="s">
        <v>896</v>
      </c>
      <c r="H26" s="1121" t="s">
        <v>351</v>
      </c>
      <c r="I26" s="1122" t="s">
        <v>351</v>
      </c>
      <c r="J26" s="1074" t="s">
        <v>351</v>
      </c>
      <c r="K26" s="1075" t="s">
        <v>351</v>
      </c>
      <c r="L26" s="1075" t="s">
        <v>351</v>
      </c>
      <c r="M26" s="1075" t="s">
        <v>351</v>
      </c>
      <c r="N26" s="1076" t="s">
        <v>351</v>
      </c>
      <c r="O26" s="1074" t="s">
        <v>351</v>
      </c>
      <c r="P26" s="1075" t="s">
        <v>351</v>
      </c>
      <c r="Q26" s="1075" t="s">
        <v>351</v>
      </c>
      <c r="R26" s="1075" t="s">
        <v>351</v>
      </c>
      <c r="S26" s="1076" t="s">
        <v>351</v>
      </c>
      <c r="T26" s="1459" t="s">
        <v>560</v>
      </c>
      <c r="U26" s="1460"/>
      <c r="V26" s="1460"/>
      <c r="W26" s="1460"/>
      <c r="X26" s="1460"/>
      <c r="Y26" s="1460"/>
      <c r="Z26" s="1461"/>
    </row>
    <row r="27" spans="1:26" ht="12.75">
      <c r="A27" s="1123"/>
      <c r="B27" s="1124">
        <v>1</v>
      </c>
      <c r="C27" s="359" t="s">
        <v>778</v>
      </c>
      <c r="D27" s="359" t="s">
        <v>779</v>
      </c>
      <c r="E27" s="359" t="s">
        <v>780</v>
      </c>
      <c r="F27" s="360">
        <v>2011</v>
      </c>
      <c r="G27" s="360">
        <v>14</v>
      </c>
      <c r="H27" s="361">
        <v>2.06708274084237</v>
      </c>
      <c r="I27" s="1125">
        <v>2.06708274084237</v>
      </c>
      <c r="J27" s="361">
        <v>0</v>
      </c>
      <c r="K27" s="362">
        <v>0</v>
      </c>
      <c r="L27" s="362">
        <v>0</v>
      </c>
      <c r="M27" s="362">
        <v>0</v>
      </c>
      <c r="N27" s="363">
        <v>0</v>
      </c>
      <c r="O27" s="362">
        <v>0</v>
      </c>
      <c r="P27" s="364">
        <v>1.034481523920034</v>
      </c>
      <c r="Q27" s="364">
        <v>1.0326012169223362</v>
      </c>
      <c r="R27" s="364">
        <v>0</v>
      </c>
      <c r="S27" s="363">
        <v>0</v>
      </c>
      <c r="T27" s="1453" t="s">
        <v>781</v>
      </c>
      <c r="U27" s="1454" t="e">
        <v>#REF!</v>
      </c>
      <c r="V27" s="1454" t="e">
        <v>#REF!</v>
      </c>
      <c r="W27" s="1454" t="e">
        <v>#REF!</v>
      </c>
      <c r="X27" s="1454" t="e">
        <v>#REF!</v>
      </c>
      <c r="Y27" s="1454" t="e">
        <v>#REF!</v>
      </c>
      <c r="Z27" s="1455" t="e">
        <v>#REF!</v>
      </c>
    </row>
    <row r="28" spans="1:26" ht="12.75">
      <c r="A28" s="1123"/>
      <c r="B28" s="1126">
        <v>2</v>
      </c>
      <c r="C28" s="359" t="s">
        <v>782</v>
      </c>
      <c r="D28" s="359" t="s">
        <v>878</v>
      </c>
      <c r="E28" s="359" t="s">
        <v>783</v>
      </c>
      <c r="F28" s="360">
        <v>2013</v>
      </c>
      <c r="G28" s="360">
        <v>80</v>
      </c>
      <c r="H28" s="361">
        <v>4.981141179943741</v>
      </c>
      <c r="I28" s="1125">
        <v>4.981141179943741</v>
      </c>
      <c r="J28" s="361">
        <v>0</v>
      </c>
      <c r="K28" s="362">
        <v>0</v>
      </c>
      <c r="L28" s="362">
        <v>0</v>
      </c>
      <c r="M28" s="362">
        <v>0</v>
      </c>
      <c r="N28" s="363">
        <v>0</v>
      </c>
      <c r="O28" s="362">
        <v>0</v>
      </c>
      <c r="P28" s="364">
        <v>0</v>
      </c>
      <c r="Q28" s="364">
        <v>0</v>
      </c>
      <c r="R28" s="364">
        <v>1.9609086402454914</v>
      </c>
      <c r="S28" s="363">
        <v>3.0202325396982497</v>
      </c>
      <c r="T28" s="1453" t="s">
        <v>784</v>
      </c>
      <c r="U28" s="1454" t="e">
        <v>#REF!</v>
      </c>
      <c r="V28" s="1454" t="e">
        <v>#REF!</v>
      </c>
      <c r="W28" s="1454" t="e">
        <v>#REF!</v>
      </c>
      <c r="X28" s="1454" t="e">
        <v>#REF!</v>
      </c>
      <c r="Y28" s="1454" t="e">
        <v>#REF!</v>
      </c>
      <c r="Z28" s="1455" t="e">
        <v>#REF!</v>
      </c>
    </row>
    <row r="29" spans="1:26" ht="12.75">
      <c r="A29" s="1123"/>
      <c r="B29" s="1126">
        <v>3</v>
      </c>
      <c r="C29" s="359" t="s">
        <v>785</v>
      </c>
      <c r="D29" s="359" t="s">
        <v>878</v>
      </c>
      <c r="E29" s="359" t="s">
        <v>780</v>
      </c>
      <c r="F29" s="360">
        <v>2010</v>
      </c>
      <c r="G29" s="360">
        <v>39</v>
      </c>
      <c r="H29" s="361">
        <v>1.034481523920034</v>
      </c>
      <c r="I29" s="1125">
        <v>1.034481523920034</v>
      </c>
      <c r="J29" s="361">
        <v>0</v>
      </c>
      <c r="K29" s="362">
        <v>0</v>
      </c>
      <c r="L29" s="362">
        <v>0</v>
      </c>
      <c r="M29" s="362">
        <v>0</v>
      </c>
      <c r="N29" s="363">
        <v>0</v>
      </c>
      <c r="O29" s="362">
        <v>0</v>
      </c>
      <c r="P29" s="364">
        <v>1.034481523920034</v>
      </c>
      <c r="Q29" s="364">
        <v>0</v>
      </c>
      <c r="R29" s="364">
        <v>0</v>
      </c>
      <c r="S29" s="363">
        <v>0</v>
      </c>
      <c r="T29" s="1453" t="s">
        <v>786</v>
      </c>
      <c r="U29" s="1454" t="e">
        <v>#REF!</v>
      </c>
      <c r="V29" s="1454" t="e">
        <v>#REF!</v>
      </c>
      <c r="W29" s="1454" t="e">
        <v>#REF!</v>
      </c>
      <c r="X29" s="1454" t="e">
        <v>#REF!</v>
      </c>
      <c r="Y29" s="1454" t="e">
        <v>#REF!</v>
      </c>
      <c r="Z29" s="1455" t="e">
        <v>#REF!</v>
      </c>
    </row>
    <row r="30" spans="1:26" ht="12.75">
      <c r="A30" s="1123"/>
      <c r="B30" s="1126">
        <v>4</v>
      </c>
      <c r="C30" s="359" t="s">
        <v>787</v>
      </c>
      <c r="D30" s="359" t="s">
        <v>779</v>
      </c>
      <c r="E30" s="359" t="s">
        <v>788</v>
      </c>
      <c r="F30" s="360">
        <v>2007</v>
      </c>
      <c r="G30" s="360">
        <v>12</v>
      </c>
      <c r="H30" s="361">
        <v>1.589200458071841</v>
      </c>
      <c r="I30" s="1125">
        <v>1.589200458071841</v>
      </c>
      <c r="J30" s="361">
        <v>0</v>
      </c>
      <c r="K30" s="362">
        <v>0</v>
      </c>
      <c r="L30" s="362">
        <v>0</v>
      </c>
      <c r="M30" s="362">
        <v>0</v>
      </c>
      <c r="N30" s="363">
        <v>0</v>
      </c>
      <c r="O30" s="362">
        <v>1.589200458071841</v>
      </c>
      <c r="P30" s="364">
        <v>0</v>
      </c>
      <c r="Q30" s="364">
        <v>0</v>
      </c>
      <c r="R30" s="364">
        <v>0</v>
      </c>
      <c r="S30" s="363">
        <v>0</v>
      </c>
      <c r="T30" s="1453" t="s">
        <v>678</v>
      </c>
      <c r="U30" s="1454" t="e">
        <v>#REF!</v>
      </c>
      <c r="V30" s="1454" t="e">
        <v>#REF!</v>
      </c>
      <c r="W30" s="1454" t="e">
        <v>#REF!</v>
      </c>
      <c r="X30" s="1454" t="e">
        <v>#REF!</v>
      </c>
      <c r="Y30" s="1454" t="e">
        <v>#REF!</v>
      </c>
      <c r="Z30" s="1455" t="e">
        <v>#REF!</v>
      </c>
    </row>
    <row r="31" spans="1:26" ht="12.75">
      <c r="A31" s="1123"/>
      <c r="B31" s="1126">
        <v>5</v>
      </c>
      <c r="C31" s="359" t="s">
        <v>556</v>
      </c>
      <c r="D31" s="359" t="s">
        <v>779</v>
      </c>
      <c r="E31" s="359" t="s">
        <v>783</v>
      </c>
      <c r="F31" s="360">
        <v>2007</v>
      </c>
      <c r="G31" s="360">
        <v>9.5</v>
      </c>
      <c r="H31" s="361">
        <v>0.8300837639488133</v>
      </c>
      <c r="I31" s="1125">
        <v>0.8300837639488133</v>
      </c>
      <c r="J31" s="361">
        <v>0</v>
      </c>
      <c r="K31" s="362">
        <v>0</v>
      </c>
      <c r="L31" s="362">
        <v>0</v>
      </c>
      <c r="M31" s="362">
        <v>0</v>
      </c>
      <c r="N31" s="363">
        <v>0</v>
      </c>
      <c r="O31" s="362">
        <v>0.10594669720478943</v>
      </c>
      <c r="P31" s="364">
        <v>0.7241370667440239</v>
      </c>
      <c r="Q31" s="364">
        <v>0</v>
      </c>
      <c r="R31" s="364">
        <v>0</v>
      </c>
      <c r="S31" s="363">
        <v>0</v>
      </c>
      <c r="T31" s="1453" t="s">
        <v>10</v>
      </c>
      <c r="U31" s="1454" t="e">
        <v>#REF!</v>
      </c>
      <c r="V31" s="1454" t="e">
        <v>#REF!</v>
      </c>
      <c r="W31" s="1454" t="e">
        <v>#REF!</v>
      </c>
      <c r="X31" s="1454" t="e">
        <v>#REF!</v>
      </c>
      <c r="Y31" s="1454" t="e">
        <v>#REF!</v>
      </c>
      <c r="Z31" s="1455" t="e">
        <v>#REF!</v>
      </c>
    </row>
    <row r="32" spans="1:26" ht="12.75">
      <c r="A32" s="1123"/>
      <c r="B32" s="1126">
        <v>6</v>
      </c>
      <c r="C32" s="359" t="s">
        <v>11</v>
      </c>
      <c r="D32" s="359" t="s">
        <v>878</v>
      </c>
      <c r="E32" s="359" t="s">
        <v>788</v>
      </c>
      <c r="F32" s="360">
        <v>2013</v>
      </c>
      <c r="G32" s="360">
        <v>189</v>
      </c>
      <c r="H32" s="361">
        <v>0.4129316791997822</v>
      </c>
      <c r="I32" s="1125">
        <v>0.4129316791997822</v>
      </c>
      <c r="J32" s="361">
        <v>0</v>
      </c>
      <c r="K32" s="362">
        <v>0</v>
      </c>
      <c r="L32" s="362">
        <v>0</v>
      </c>
      <c r="M32" s="362">
        <v>0</v>
      </c>
      <c r="N32" s="363">
        <v>0</v>
      </c>
      <c r="O32" s="362">
        <v>0</v>
      </c>
      <c r="P32" s="364">
        <v>0</v>
      </c>
      <c r="Q32" s="364">
        <v>0.20652024338446728</v>
      </c>
      <c r="R32" s="364">
        <v>0.2064114358153149</v>
      </c>
      <c r="S32" s="363">
        <v>0</v>
      </c>
      <c r="T32" s="1453" t="s">
        <v>39</v>
      </c>
      <c r="U32" s="1454" t="e">
        <v>#REF!</v>
      </c>
      <c r="V32" s="1454" t="e">
        <v>#REF!</v>
      </c>
      <c r="W32" s="1454" t="e">
        <v>#REF!</v>
      </c>
      <c r="X32" s="1454" t="e">
        <v>#REF!</v>
      </c>
      <c r="Y32" s="1454" t="e">
        <v>#REF!</v>
      </c>
      <c r="Z32" s="1455" t="e">
        <v>#REF!</v>
      </c>
    </row>
    <row r="33" spans="1:26" ht="12.75">
      <c r="A33" s="1123"/>
      <c r="B33" s="1126">
        <v>7</v>
      </c>
      <c r="C33" s="359" t="s">
        <v>40</v>
      </c>
      <c r="D33" s="359" t="s">
        <v>779</v>
      </c>
      <c r="E33" s="359" t="s">
        <v>783</v>
      </c>
      <c r="F33" s="360">
        <v>2011</v>
      </c>
      <c r="G33" s="360">
        <v>16</v>
      </c>
      <c r="H33" s="361">
        <v>2.580959004460079</v>
      </c>
      <c r="I33" s="1125">
        <v>2.580959004460079</v>
      </c>
      <c r="J33" s="361">
        <v>0</v>
      </c>
      <c r="K33" s="362">
        <v>0</v>
      </c>
      <c r="L33" s="362">
        <v>0</v>
      </c>
      <c r="M33" s="362">
        <v>0</v>
      </c>
      <c r="N33" s="363">
        <v>0</v>
      </c>
      <c r="O33" s="362">
        <v>0</v>
      </c>
      <c r="P33" s="364">
        <v>0</v>
      </c>
      <c r="Q33" s="364">
        <v>1.5489018253835045</v>
      </c>
      <c r="R33" s="364">
        <v>1.0320571790765745</v>
      </c>
      <c r="S33" s="363">
        <v>0</v>
      </c>
      <c r="T33" s="1453" t="s">
        <v>819</v>
      </c>
      <c r="U33" s="1454" t="e">
        <v>#REF!</v>
      </c>
      <c r="V33" s="1454" t="e">
        <v>#REF!</v>
      </c>
      <c r="W33" s="1454" t="e">
        <v>#REF!</v>
      </c>
      <c r="X33" s="1454" t="e">
        <v>#REF!</v>
      </c>
      <c r="Y33" s="1454" t="e">
        <v>#REF!</v>
      </c>
      <c r="Z33" s="1455" t="e">
        <v>#REF!</v>
      </c>
    </row>
    <row r="34" spans="1:26" ht="12.75">
      <c r="A34" s="1123"/>
      <c r="B34" s="1126">
        <v>8</v>
      </c>
      <c r="C34" s="359" t="s">
        <v>820</v>
      </c>
      <c r="D34" s="359" t="s">
        <v>878</v>
      </c>
      <c r="E34" s="359" t="s">
        <v>783</v>
      </c>
      <c r="F34" s="360">
        <v>2012</v>
      </c>
      <c r="G34" s="360">
        <v>117</v>
      </c>
      <c r="H34" s="361">
        <v>1.550782132381202</v>
      </c>
      <c r="I34" s="1125">
        <v>1.550782132381202</v>
      </c>
      <c r="J34" s="361">
        <v>0</v>
      </c>
      <c r="K34" s="362">
        <v>0</v>
      </c>
      <c r="L34" s="362">
        <v>0</v>
      </c>
      <c r="M34" s="362">
        <v>0</v>
      </c>
      <c r="N34" s="363">
        <v>0</v>
      </c>
      <c r="O34" s="362">
        <v>0</v>
      </c>
      <c r="P34" s="364">
        <v>1.034481523920034</v>
      </c>
      <c r="Q34" s="364">
        <v>0.5163006084611681</v>
      </c>
      <c r="R34" s="364">
        <v>0</v>
      </c>
      <c r="S34" s="363">
        <v>0</v>
      </c>
      <c r="T34" s="1453" t="s">
        <v>917</v>
      </c>
      <c r="U34" s="1454" t="e">
        <v>#REF!</v>
      </c>
      <c r="V34" s="1454" t="e">
        <v>#REF!</v>
      </c>
      <c r="W34" s="1454" t="e">
        <v>#REF!</v>
      </c>
      <c r="X34" s="1454" t="e">
        <v>#REF!</v>
      </c>
      <c r="Y34" s="1454" t="e">
        <v>#REF!</v>
      </c>
      <c r="Z34" s="1455" t="e">
        <v>#REF!</v>
      </c>
    </row>
    <row r="35" spans="1:26" ht="12.75">
      <c r="A35" s="1123"/>
      <c r="B35" s="1126">
        <v>9</v>
      </c>
      <c r="C35" s="359" t="s">
        <v>918</v>
      </c>
      <c r="D35" s="359" t="s">
        <v>779</v>
      </c>
      <c r="E35" s="359" t="s">
        <v>783</v>
      </c>
      <c r="F35" s="360">
        <v>2008</v>
      </c>
      <c r="G35" s="360">
        <v>40</v>
      </c>
      <c r="H35" s="361">
        <v>5.0111033592614</v>
      </c>
      <c r="I35" s="1125">
        <v>5.0111033592614</v>
      </c>
      <c r="J35" s="361">
        <v>0</v>
      </c>
      <c r="K35" s="362">
        <v>0</v>
      </c>
      <c r="L35" s="362">
        <v>0</v>
      </c>
      <c r="M35" s="362">
        <v>0</v>
      </c>
      <c r="N35" s="363">
        <v>0</v>
      </c>
      <c r="O35" s="362">
        <v>2.012987246890999</v>
      </c>
      <c r="P35" s="364">
        <v>1.9655148954480646</v>
      </c>
      <c r="Q35" s="364">
        <v>1.0326012169223362</v>
      </c>
      <c r="R35" s="364">
        <v>0</v>
      </c>
      <c r="S35" s="363">
        <v>0</v>
      </c>
      <c r="T35" s="1453" t="s">
        <v>919</v>
      </c>
      <c r="U35" s="1454" t="e">
        <v>#REF!</v>
      </c>
      <c r="V35" s="1454" t="e">
        <v>#REF!</v>
      </c>
      <c r="W35" s="1454" t="e">
        <v>#REF!</v>
      </c>
      <c r="X35" s="1454" t="e">
        <v>#REF!</v>
      </c>
      <c r="Y35" s="1454" t="e">
        <v>#REF!</v>
      </c>
      <c r="Z35" s="1455" t="e">
        <v>#REF!</v>
      </c>
    </row>
    <row r="36" spans="1:26" ht="12.75">
      <c r="A36" s="1123"/>
      <c r="B36" s="1126">
        <v>10</v>
      </c>
      <c r="C36" s="359" t="s">
        <v>920</v>
      </c>
      <c r="D36" s="359" t="s">
        <v>878</v>
      </c>
      <c r="E36" s="359" t="s">
        <v>783</v>
      </c>
      <c r="F36" s="360">
        <v>2010</v>
      </c>
      <c r="G36" s="360">
        <v>58.5</v>
      </c>
      <c r="H36" s="361">
        <v>2.0646583959989107</v>
      </c>
      <c r="I36" s="1125">
        <v>2.0646583959989107</v>
      </c>
      <c r="J36" s="361">
        <v>0</v>
      </c>
      <c r="K36" s="362">
        <v>0</v>
      </c>
      <c r="L36" s="362">
        <v>0</v>
      </c>
      <c r="M36" s="362">
        <v>0</v>
      </c>
      <c r="N36" s="363">
        <v>0</v>
      </c>
      <c r="O36" s="362">
        <v>0</v>
      </c>
      <c r="P36" s="364">
        <v>0</v>
      </c>
      <c r="Q36" s="364">
        <v>1.0326012169223362</v>
      </c>
      <c r="R36" s="364">
        <v>1.0320571790765745</v>
      </c>
      <c r="S36" s="363">
        <v>0</v>
      </c>
      <c r="T36" s="1453" t="s">
        <v>921</v>
      </c>
      <c r="U36" s="1454" t="e">
        <v>#REF!</v>
      </c>
      <c r="V36" s="1454" t="e">
        <v>#REF!</v>
      </c>
      <c r="W36" s="1454" t="e">
        <v>#REF!</v>
      </c>
      <c r="X36" s="1454" t="e">
        <v>#REF!</v>
      </c>
      <c r="Y36" s="1454" t="e">
        <v>#REF!</v>
      </c>
      <c r="Z36" s="1455" t="e">
        <v>#REF!</v>
      </c>
    </row>
    <row r="37" spans="1:26" ht="12.75">
      <c r="A37" s="1123"/>
      <c r="B37" s="1126">
        <v>11</v>
      </c>
      <c r="C37" s="359" t="s">
        <v>922</v>
      </c>
      <c r="D37" s="359" t="s">
        <v>779</v>
      </c>
      <c r="E37" s="359" t="s">
        <v>783</v>
      </c>
      <c r="F37" s="360">
        <v>2012</v>
      </c>
      <c r="G37" s="360">
        <v>39</v>
      </c>
      <c r="H37" s="361">
        <v>4.954908131474505</v>
      </c>
      <c r="I37" s="1125">
        <v>4.954908131474505</v>
      </c>
      <c r="J37" s="361">
        <v>0</v>
      </c>
      <c r="K37" s="362">
        <v>0</v>
      </c>
      <c r="L37" s="362">
        <v>0</v>
      </c>
      <c r="M37" s="362">
        <v>0</v>
      </c>
      <c r="N37" s="363">
        <v>0</v>
      </c>
      <c r="O37" s="362">
        <v>0</v>
      </c>
      <c r="P37" s="364">
        <v>0</v>
      </c>
      <c r="Q37" s="364">
        <v>1.9619423121524389</v>
      </c>
      <c r="R37" s="364">
        <v>2.9929658193220656</v>
      </c>
      <c r="S37" s="363">
        <v>0</v>
      </c>
      <c r="T37" s="1453" t="s">
        <v>829</v>
      </c>
      <c r="U37" s="1454" t="e">
        <v>#REF!</v>
      </c>
      <c r="V37" s="1454" t="e">
        <v>#REF!</v>
      </c>
      <c r="W37" s="1454" t="e">
        <v>#REF!</v>
      </c>
      <c r="X37" s="1454" t="e">
        <v>#REF!</v>
      </c>
      <c r="Y37" s="1454" t="e">
        <v>#REF!</v>
      </c>
      <c r="Z37" s="1455" t="e">
        <v>#REF!</v>
      </c>
    </row>
    <row r="38" spans="1:26" ht="12.75">
      <c r="A38" s="1123"/>
      <c r="B38" s="1126">
        <v>12</v>
      </c>
      <c r="C38" s="359" t="s">
        <v>728</v>
      </c>
      <c r="D38" s="359" t="s">
        <v>779</v>
      </c>
      <c r="E38" s="359" t="s">
        <v>783</v>
      </c>
      <c r="F38" s="360">
        <v>2012</v>
      </c>
      <c r="G38" s="360">
        <v>13.15</v>
      </c>
      <c r="H38" s="361">
        <v>0.2082918992895345</v>
      </c>
      <c r="I38" s="1125">
        <v>0.2082918992895345</v>
      </c>
      <c r="J38" s="361">
        <v>0</v>
      </c>
      <c r="K38" s="362">
        <v>0</v>
      </c>
      <c r="L38" s="362">
        <v>0</v>
      </c>
      <c r="M38" s="362">
        <v>0</v>
      </c>
      <c r="N38" s="363">
        <v>0</v>
      </c>
      <c r="O38" s="362">
        <v>0</v>
      </c>
      <c r="P38" s="364">
        <v>0</v>
      </c>
      <c r="Q38" s="364">
        <v>0</v>
      </c>
      <c r="R38" s="364">
        <v>0</v>
      </c>
      <c r="S38" s="363">
        <v>0.2082918992895345</v>
      </c>
      <c r="T38" s="1453" t="s">
        <v>821</v>
      </c>
      <c r="U38" s="1454" t="e">
        <v>#REF!</v>
      </c>
      <c r="V38" s="1454" t="e">
        <v>#REF!</v>
      </c>
      <c r="W38" s="1454" t="e">
        <v>#REF!</v>
      </c>
      <c r="X38" s="1454" t="e">
        <v>#REF!</v>
      </c>
      <c r="Y38" s="1454" t="e">
        <v>#REF!</v>
      </c>
      <c r="Z38" s="1455" t="e">
        <v>#REF!</v>
      </c>
    </row>
    <row r="39" spans="1:26" ht="12.75">
      <c r="A39" s="1123"/>
      <c r="B39" s="1126">
        <v>13</v>
      </c>
      <c r="C39" s="359" t="s">
        <v>822</v>
      </c>
      <c r="D39" s="359" t="s">
        <v>779</v>
      </c>
      <c r="E39" s="359" t="s">
        <v>783</v>
      </c>
      <c r="F39" s="360">
        <v>2012</v>
      </c>
      <c r="G39" s="360">
        <v>24</v>
      </c>
      <c r="H39" s="361">
        <v>1.445424088552966</v>
      </c>
      <c r="I39" s="1125">
        <v>1.445424088552966</v>
      </c>
      <c r="J39" s="361">
        <v>0</v>
      </c>
      <c r="K39" s="362">
        <v>0</v>
      </c>
      <c r="L39" s="362">
        <v>0</v>
      </c>
      <c r="M39" s="362">
        <v>0</v>
      </c>
      <c r="N39" s="363">
        <v>0</v>
      </c>
      <c r="O39" s="362">
        <v>0</v>
      </c>
      <c r="P39" s="364">
        <v>0</v>
      </c>
      <c r="Q39" s="364">
        <v>1.0326012169223362</v>
      </c>
      <c r="R39" s="364">
        <v>0.4128228716306298</v>
      </c>
      <c r="S39" s="363">
        <v>0</v>
      </c>
      <c r="T39" s="1453" t="s">
        <v>823</v>
      </c>
      <c r="U39" s="1454" t="e">
        <v>#REF!</v>
      </c>
      <c r="V39" s="1454" t="e">
        <v>#REF!</v>
      </c>
      <c r="W39" s="1454" t="e">
        <v>#REF!</v>
      </c>
      <c r="X39" s="1454" t="e">
        <v>#REF!</v>
      </c>
      <c r="Y39" s="1454" t="e">
        <v>#REF!</v>
      </c>
      <c r="Z39" s="1455" t="e">
        <v>#REF!</v>
      </c>
    </row>
    <row r="40" spans="1:26" ht="12.75">
      <c r="A40" s="1123"/>
      <c r="B40" s="1126">
        <v>14</v>
      </c>
      <c r="C40" s="359" t="s">
        <v>824</v>
      </c>
      <c r="D40" s="359" t="s">
        <v>779</v>
      </c>
      <c r="E40" s="359" t="s">
        <v>783</v>
      </c>
      <c r="F40" s="360">
        <v>2008</v>
      </c>
      <c r="G40" s="360">
        <v>25</v>
      </c>
      <c r="H40" s="361">
        <v>1.0594669720478942</v>
      </c>
      <c r="I40" s="1125">
        <v>1.0594669720478942</v>
      </c>
      <c r="J40" s="361">
        <v>0</v>
      </c>
      <c r="K40" s="362">
        <v>0</v>
      </c>
      <c r="L40" s="362">
        <v>0</v>
      </c>
      <c r="M40" s="362">
        <v>0</v>
      </c>
      <c r="N40" s="363">
        <v>0</v>
      </c>
      <c r="O40" s="362">
        <v>1.0594669720478942</v>
      </c>
      <c r="P40" s="364">
        <v>0</v>
      </c>
      <c r="Q40" s="364">
        <v>0</v>
      </c>
      <c r="R40" s="364">
        <v>0</v>
      </c>
      <c r="S40" s="363">
        <v>0</v>
      </c>
      <c r="T40" s="1453" t="s">
        <v>825</v>
      </c>
      <c r="U40" s="1454" t="e">
        <v>#REF!</v>
      </c>
      <c r="V40" s="1454" t="e">
        <v>#REF!</v>
      </c>
      <c r="W40" s="1454" t="e">
        <v>#REF!</v>
      </c>
      <c r="X40" s="1454" t="e">
        <v>#REF!</v>
      </c>
      <c r="Y40" s="1454" t="e">
        <v>#REF!</v>
      </c>
      <c r="Z40" s="1455" t="e">
        <v>#REF!</v>
      </c>
    </row>
    <row r="41" spans="1:26" ht="12.75">
      <c r="A41" s="1123"/>
      <c r="B41" s="1126">
        <v>15</v>
      </c>
      <c r="C41" s="359" t="s">
        <v>826</v>
      </c>
      <c r="D41" s="359" t="s">
        <v>779</v>
      </c>
      <c r="E41" s="359" t="s">
        <v>783</v>
      </c>
      <c r="F41" s="360">
        <v>2010</v>
      </c>
      <c r="G41" s="360">
        <v>35.2</v>
      </c>
      <c r="H41" s="361">
        <v>2.06708274084237</v>
      </c>
      <c r="I41" s="1125">
        <v>2.06708274084237</v>
      </c>
      <c r="J41" s="361">
        <v>0</v>
      </c>
      <c r="K41" s="362">
        <v>0</v>
      </c>
      <c r="L41" s="362">
        <v>0</v>
      </c>
      <c r="M41" s="362">
        <v>0</v>
      </c>
      <c r="N41" s="363">
        <v>0</v>
      </c>
      <c r="O41" s="362">
        <v>0</v>
      </c>
      <c r="P41" s="364">
        <v>1.034481523920034</v>
      </c>
      <c r="Q41" s="364">
        <v>1.0326012169223362</v>
      </c>
      <c r="R41" s="364">
        <v>0</v>
      </c>
      <c r="S41" s="363">
        <v>0</v>
      </c>
      <c r="T41" s="1453" t="s">
        <v>827</v>
      </c>
      <c r="U41" s="1454" t="e">
        <v>#REF!</v>
      </c>
      <c r="V41" s="1454" t="e">
        <v>#REF!</v>
      </c>
      <c r="W41" s="1454" t="e">
        <v>#REF!</v>
      </c>
      <c r="X41" s="1454" t="e">
        <v>#REF!</v>
      </c>
      <c r="Y41" s="1454" t="e">
        <v>#REF!</v>
      </c>
      <c r="Z41" s="1455" t="e">
        <v>#REF!</v>
      </c>
    </row>
    <row r="42" spans="1:26" ht="12.75">
      <c r="A42" s="1123"/>
      <c r="B42" s="1126">
        <v>16</v>
      </c>
      <c r="C42" s="359" t="s">
        <v>828</v>
      </c>
      <c r="D42" s="359" t="s">
        <v>779</v>
      </c>
      <c r="E42" s="359" t="s">
        <v>783</v>
      </c>
      <c r="F42" s="360">
        <v>2012</v>
      </c>
      <c r="G42" s="360">
        <v>16</v>
      </c>
      <c r="H42" s="361">
        <v>4.043431439249488</v>
      </c>
      <c r="I42" s="1125">
        <v>4.043431439249488</v>
      </c>
      <c r="J42" s="361">
        <v>0</v>
      </c>
      <c r="K42" s="362">
        <v>0</v>
      </c>
      <c r="L42" s="362">
        <v>0</v>
      </c>
      <c r="M42" s="362">
        <v>0</v>
      </c>
      <c r="N42" s="363">
        <v>0</v>
      </c>
      <c r="O42" s="362">
        <v>0</v>
      </c>
      <c r="P42" s="364">
        <v>0</v>
      </c>
      <c r="Q42" s="364">
        <v>1.0326012169223362</v>
      </c>
      <c r="R42" s="364">
        <v>1.0320571790765745</v>
      </c>
      <c r="S42" s="363">
        <v>1.9787730432505775</v>
      </c>
      <c r="T42" s="1453" t="s">
        <v>740</v>
      </c>
      <c r="U42" s="1454" t="e">
        <v>#REF!</v>
      </c>
      <c r="V42" s="1454" t="e">
        <v>#REF!</v>
      </c>
      <c r="W42" s="1454" t="e">
        <v>#REF!</v>
      </c>
      <c r="X42" s="1454" t="e">
        <v>#REF!</v>
      </c>
      <c r="Y42" s="1454" t="e">
        <v>#REF!</v>
      </c>
      <c r="Z42" s="1455" t="e">
        <v>#REF!</v>
      </c>
    </row>
    <row r="43" spans="1:26" ht="12.75">
      <c r="A43" s="1123"/>
      <c r="B43" s="1126">
        <v>17</v>
      </c>
      <c r="C43" s="359" t="s">
        <v>622</v>
      </c>
      <c r="D43" s="359" t="s">
        <v>878</v>
      </c>
      <c r="E43" s="359" t="s">
        <v>788</v>
      </c>
      <c r="F43" s="360">
        <v>2012</v>
      </c>
      <c r="G43" s="360">
        <v>35</v>
      </c>
      <c r="H43" s="361">
        <v>3.9274572076005034</v>
      </c>
      <c r="I43" s="1125">
        <v>3.9274572076005034</v>
      </c>
      <c r="J43" s="361">
        <v>0</v>
      </c>
      <c r="K43" s="362">
        <v>0</v>
      </c>
      <c r="L43" s="362">
        <v>0</v>
      </c>
      <c r="M43" s="362">
        <v>0</v>
      </c>
      <c r="N43" s="363">
        <v>0</v>
      </c>
      <c r="O43" s="362">
        <v>0</v>
      </c>
      <c r="P43" s="364">
        <v>1.9655148954480646</v>
      </c>
      <c r="Q43" s="364">
        <v>1.9619423121524389</v>
      </c>
      <c r="R43" s="364">
        <v>0</v>
      </c>
      <c r="S43" s="363">
        <v>0</v>
      </c>
      <c r="T43" s="1453" t="s">
        <v>623</v>
      </c>
      <c r="U43" s="1454" t="e">
        <v>#REF!</v>
      </c>
      <c r="V43" s="1454" t="e">
        <v>#REF!</v>
      </c>
      <c r="W43" s="1454" t="e">
        <v>#REF!</v>
      </c>
      <c r="X43" s="1454" t="e">
        <v>#REF!</v>
      </c>
      <c r="Y43" s="1454" t="e">
        <v>#REF!</v>
      </c>
      <c r="Z43" s="1455" t="e">
        <v>#REF!</v>
      </c>
    </row>
    <row r="44" spans="1:26" ht="12.75">
      <c r="A44" s="1123"/>
      <c r="B44" s="1126">
        <v>18</v>
      </c>
      <c r="C44" s="359" t="s">
        <v>624</v>
      </c>
      <c r="D44" s="359" t="s">
        <v>779</v>
      </c>
      <c r="E44" s="359" t="s">
        <v>783</v>
      </c>
      <c r="F44" s="360">
        <v>2010</v>
      </c>
      <c r="G44" s="360">
        <v>16</v>
      </c>
      <c r="H44" s="361">
        <v>1.550782132381202</v>
      </c>
      <c r="I44" s="1125">
        <v>1.550782132381202</v>
      </c>
      <c r="J44" s="361">
        <v>0</v>
      </c>
      <c r="K44" s="362">
        <v>0</v>
      </c>
      <c r="L44" s="362">
        <v>0</v>
      </c>
      <c r="M44" s="362">
        <v>0</v>
      </c>
      <c r="N44" s="363">
        <v>0</v>
      </c>
      <c r="O44" s="362">
        <v>0</v>
      </c>
      <c r="P44" s="364">
        <v>1.034481523920034</v>
      </c>
      <c r="Q44" s="364">
        <v>0.5163006084611681</v>
      </c>
      <c r="R44" s="364">
        <v>0</v>
      </c>
      <c r="S44" s="363">
        <v>0</v>
      </c>
      <c r="T44" s="1453" t="s">
        <v>54</v>
      </c>
      <c r="U44" s="1454" t="e">
        <v>#REF!</v>
      </c>
      <c r="V44" s="1454" t="e">
        <v>#REF!</v>
      </c>
      <c r="W44" s="1454" t="e">
        <v>#REF!</v>
      </c>
      <c r="X44" s="1454" t="e">
        <v>#REF!</v>
      </c>
      <c r="Y44" s="1454" t="e">
        <v>#REF!</v>
      </c>
      <c r="Z44" s="1455" t="e">
        <v>#REF!</v>
      </c>
    </row>
    <row r="45" spans="1:26" ht="12.75">
      <c r="A45" s="1123"/>
      <c r="B45" s="1126">
        <v>19</v>
      </c>
      <c r="C45" s="359" t="s">
        <v>76</v>
      </c>
      <c r="D45" s="359" t="s">
        <v>779</v>
      </c>
      <c r="E45" s="359" t="s">
        <v>783</v>
      </c>
      <c r="F45" s="360">
        <v>2013</v>
      </c>
      <c r="G45" s="360">
        <v>18.6</v>
      </c>
      <c r="H45" s="361">
        <v>2.594246423748083</v>
      </c>
      <c r="I45" s="1125">
        <v>2.594246423748083</v>
      </c>
      <c r="J45" s="361">
        <v>0</v>
      </c>
      <c r="K45" s="362">
        <v>0</v>
      </c>
      <c r="L45" s="362">
        <v>0</v>
      </c>
      <c r="M45" s="362">
        <v>0</v>
      </c>
      <c r="N45" s="363">
        <v>0</v>
      </c>
      <c r="O45" s="362">
        <v>0</v>
      </c>
      <c r="P45" s="364">
        <v>0</v>
      </c>
      <c r="Q45" s="364">
        <v>0</v>
      </c>
      <c r="R45" s="364">
        <v>1.0320571790765745</v>
      </c>
      <c r="S45" s="363">
        <v>1.5621892446715087</v>
      </c>
      <c r="T45" s="1453" t="s">
        <v>77</v>
      </c>
      <c r="U45" s="1454" t="e">
        <v>#REF!</v>
      </c>
      <c r="V45" s="1454" t="e">
        <v>#REF!</v>
      </c>
      <c r="W45" s="1454" t="e">
        <v>#REF!</v>
      </c>
      <c r="X45" s="1454" t="e">
        <v>#REF!</v>
      </c>
      <c r="Y45" s="1454" t="e">
        <v>#REF!</v>
      </c>
      <c r="Z45" s="1455" t="e">
        <v>#REF!</v>
      </c>
    </row>
    <row r="46" spans="1:26" ht="12.75">
      <c r="A46" s="1123"/>
      <c r="B46" s="1126">
        <v>20</v>
      </c>
      <c r="C46" s="365" t="s">
        <v>78</v>
      </c>
      <c r="D46" s="365" t="s">
        <v>779</v>
      </c>
      <c r="E46" s="365" t="s">
        <v>79</v>
      </c>
      <c r="F46" s="366">
        <v>2014</v>
      </c>
      <c r="G46" s="366">
        <v>24</v>
      </c>
      <c r="H46" s="367">
        <v>0</v>
      </c>
      <c r="I46" s="1127">
        <v>0</v>
      </c>
      <c r="J46" s="367">
        <v>0</v>
      </c>
      <c r="K46" s="368">
        <v>0</v>
      </c>
      <c r="L46" s="368">
        <v>0</v>
      </c>
      <c r="M46" s="368">
        <v>0</v>
      </c>
      <c r="N46" s="369">
        <v>0</v>
      </c>
      <c r="O46" s="368">
        <v>0</v>
      </c>
      <c r="P46" s="370">
        <v>0</v>
      </c>
      <c r="Q46" s="370">
        <v>0</v>
      </c>
      <c r="R46" s="370">
        <v>0</v>
      </c>
      <c r="S46" s="369">
        <v>0</v>
      </c>
      <c r="T46" s="1462" t="s">
        <v>80</v>
      </c>
      <c r="U46" s="1463" t="e">
        <v>#REF!</v>
      </c>
      <c r="V46" s="1463" t="e">
        <v>#REF!</v>
      </c>
      <c r="W46" s="1463" t="e">
        <v>#REF!</v>
      </c>
      <c r="X46" s="1463" t="e">
        <v>#REF!</v>
      </c>
      <c r="Y46" s="1463" t="e">
        <v>#REF!</v>
      </c>
      <c r="Z46" s="1464" t="e">
        <v>#REF!</v>
      </c>
    </row>
    <row r="47" spans="1:26" ht="12.75">
      <c r="A47" s="1123"/>
      <c r="B47" s="1126">
        <v>21</v>
      </c>
      <c r="C47" s="365" t="s">
        <v>81</v>
      </c>
      <c r="D47" s="365" t="s">
        <v>779</v>
      </c>
      <c r="E47" s="365" t="s">
        <v>783</v>
      </c>
      <c r="F47" s="366">
        <v>2010</v>
      </c>
      <c r="G47" s="366">
        <v>15</v>
      </c>
      <c r="H47" s="367">
        <v>0.10344815239200342</v>
      </c>
      <c r="I47" s="1127">
        <v>0.10344815239200342</v>
      </c>
      <c r="J47" s="367">
        <v>0</v>
      </c>
      <c r="K47" s="368">
        <v>0</v>
      </c>
      <c r="L47" s="368">
        <v>0</v>
      </c>
      <c r="M47" s="368">
        <v>0</v>
      </c>
      <c r="N47" s="369">
        <v>0</v>
      </c>
      <c r="O47" s="368">
        <v>0</v>
      </c>
      <c r="P47" s="370">
        <v>0.10344815239200342</v>
      </c>
      <c r="Q47" s="370">
        <v>0</v>
      </c>
      <c r="R47" s="370">
        <v>0</v>
      </c>
      <c r="S47" s="369">
        <v>0</v>
      </c>
      <c r="T47" s="1462" t="s">
        <v>865</v>
      </c>
      <c r="U47" s="1463" t="e">
        <v>#REF!</v>
      </c>
      <c r="V47" s="1463" t="e">
        <v>#REF!</v>
      </c>
      <c r="W47" s="1463" t="e">
        <v>#REF!</v>
      </c>
      <c r="X47" s="1463" t="e">
        <v>#REF!</v>
      </c>
      <c r="Y47" s="1463" t="e">
        <v>#REF!</v>
      </c>
      <c r="Z47" s="1464" t="e">
        <v>#REF!</v>
      </c>
    </row>
    <row r="48" spans="2:26" ht="12.75">
      <c r="B48" s="1126">
        <v>22</v>
      </c>
      <c r="C48" s="365" t="s">
        <v>866</v>
      </c>
      <c r="D48" s="365" t="s">
        <v>779</v>
      </c>
      <c r="E48" s="365" t="s">
        <v>783</v>
      </c>
      <c r="F48" s="366">
        <v>2014</v>
      </c>
      <c r="G48" s="366">
        <v>13.15</v>
      </c>
      <c r="H48" s="367">
        <v>0.5207297482238363</v>
      </c>
      <c r="I48" s="1127">
        <v>0.5207297482238363</v>
      </c>
      <c r="J48" s="367">
        <v>0</v>
      </c>
      <c r="K48" s="368">
        <v>0</v>
      </c>
      <c r="L48" s="368">
        <v>0</v>
      </c>
      <c r="M48" s="368">
        <v>0</v>
      </c>
      <c r="N48" s="369">
        <v>0</v>
      </c>
      <c r="O48" s="368">
        <v>0</v>
      </c>
      <c r="P48" s="370">
        <v>0</v>
      </c>
      <c r="Q48" s="370">
        <v>0</v>
      </c>
      <c r="R48" s="370">
        <v>0</v>
      </c>
      <c r="S48" s="369">
        <v>0.5207297482238363</v>
      </c>
      <c r="T48" s="1462" t="s">
        <v>867</v>
      </c>
      <c r="U48" s="1463" t="e">
        <v>#REF!</v>
      </c>
      <c r="V48" s="1463" t="e">
        <v>#REF!</v>
      </c>
      <c r="W48" s="1463" t="e">
        <v>#REF!</v>
      </c>
      <c r="X48" s="1463" t="e">
        <v>#REF!</v>
      </c>
      <c r="Y48" s="1463" t="e">
        <v>#REF!</v>
      </c>
      <c r="Z48" s="1464" t="e">
        <v>#REF!</v>
      </c>
    </row>
    <row r="49" spans="2:26" ht="12.75">
      <c r="B49" s="1126">
        <v>23</v>
      </c>
      <c r="C49" s="365" t="s">
        <v>868</v>
      </c>
      <c r="D49" s="365" t="s">
        <v>779</v>
      </c>
      <c r="E49" s="365" t="s">
        <v>780</v>
      </c>
      <c r="F49" s="366">
        <v>2014</v>
      </c>
      <c r="G49" s="366">
        <v>27</v>
      </c>
      <c r="H49" s="367">
        <v>1.0414594964476727</v>
      </c>
      <c r="I49" s="1127">
        <v>1.0414594964476727</v>
      </c>
      <c r="J49" s="367">
        <v>0</v>
      </c>
      <c r="K49" s="368">
        <v>0</v>
      </c>
      <c r="L49" s="368">
        <v>0</v>
      </c>
      <c r="M49" s="368">
        <v>0</v>
      </c>
      <c r="N49" s="369">
        <v>0</v>
      </c>
      <c r="O49" s="368">
        <v>0</v>
      </c>
      <c r="P49" s="370">
        <v>0</v>
      </c>
      <c r="Q49" s="370">
        <v>0</v>
      </c>
      <c r="R49" s="370">
        <v>0</v>
      </c>
      <c r="S49" s="369">
        <v>1.0414594964476727</v>
      </c>
      <c r="T49" s="1462" t="s">
        <v>869</v>
      </c>
      <c r="U49" s="1463" t="e">
        <v>#REF!</v>
      </c>
      <c r="V49" s="1463" t="e">
        <v>#REF!</v>
      </c>
      <c r="W49" s="1463" t="e">
        <v>#REF!</v>
      </c>
      <c r="X49" s="1463" t="e">
        <v>#REF!</v>
      </c>
      <c r="Y49" s="1463" t="e">
        <v>#REF!</v>
      </c>
      <c r="Z49" s="1464" t="e">
        <v>#REF!</v>
      </c>
    </row>
    <row r="50" spans="2:26" ht="12.75">
      <c r="B50" s="1126">
        <v>24</v>
      </c>
      <c r="C50" s="365" t="s">
        <v>870</v>
      </c>
      <c r="D50" s="365" t="s">
        <v>779</v>
      </c>
      <c r="E50" s="365" t="s">
        <v>783</v>
      </c>
      <c r="F50" s="366">
        <v>2010</v>
      </c>
      <c r="G50" s="366">
        <v>16</v>
      </c>
      <c r="H50" s="367">
        <v>1.5517222858800512</v>
      </c>
      <c r="I50" s="1127">
        <v>1.5517222858800512</v>
      </c>
      <c r="J50" s="367">
        <v>0</v>
      </c>
      <c r="K50" s="368">
        <v>0</v>
      </c>
      <c r="L50" s="368">
        <v>0</v>
      </c>
      <c r="M50" s="368">
        <v>0</v>
      </c>
      <c r="N50" s="369">
        <v>0</v>
      </c>
      <c r="O50" s="368">
        <v>0</v>
      </c>
      <c r="P50" s="370">
        <v>1.5517222858800512</v>
      </c>
      <c r="Q50" s="370">
        <v>0</v>
      </c>
      <c r="R50" s="370">
        <v>0</v>
      </c>
      <c r="S50" s="369">
        <v>0</v>
      </c>
      <c r="T50" s="1462" t="s">
        <v>949</v>
      </c>
      <c r="U50" s="1463" t="e">
        <v>#REF!</v>
      </c>
      <c r="V50" s="1463" t="e">
        <v>#REF!</v>
      </c>
      <c r="W50" s="1463" t="e">
        <v>#REF!</v>
      </c>
      <c r="X50" s="1463" t="e">
        <v>#REF!</v>
      </c>
      <c r="Y50" s="1463" t="e">
        <v>#REF!</v>
      </c>
      <c r="Z50" s="1464" t="e">
        <v>#REF!</v>
      </c>
    </row>
    <row r="51" spans="2:26" ht="12.75">
      <c r="B51" s="1126">
        <v>25</v>
      </c>
      <c r="C51" s="365" t="s">
        <v>950</v>
      </c>
      <c r="D51" s="365" t="s">
        <v>878</v>
      </c>
      <c r="E51" s="365" t="s">
        <v>783</v>
      </c>
      <c r="F51" s="366">
        <v>2014</v>
      </c>
      <c r="G51" s="366">
        <v>90</v>
      </c>
      <c r="H51" s="367">
        <v>3.540962287922086</v>
      </c>
      <c r="I51" s="1127">
        <v>3.540962287922086</v>
      </c>
      <c r="J51" s="367">
        <v>0</v>
      </c>
      <c r="K51" s="368">
        <v>0</v>
      </c>
      <c r="L51" s="368">
        <v>0</v>
      </c>
      <c r="M51" s="368">
        <v>0</v>
      </c>
      <c r="N51" s="369">
        <v>0</v>
      </c>
      <c r="O51" s="368">
        <v>0</v>
      </c>
      <c r="P51" s="370">
        <v>0</v>
      </c>
      <c r="Q51" s="370">
        <v>0</v>
      </c>
      <c r="R51" s="370">
        <v>0</v>
      </c>
      <c r="S51" s="369">
        <v>3.540962287922086</v>
      </c>
      <c r="T51" s="1462" t="s">
        <v>951</v>
      </c>
      <c r="U51" s="1463" t="e">
        <v>#REF!</v>
      </c>
      <c r="V51" s="1463" t="e">
        <v>#REF!</v>
      </c>
      <c r="W51" s="1463" t="e">
        <v>#REF!</v>
      </c>
      <c r="X51" s="1463" t="e">
        <v>#REF!</v>
      </c>
      <c r="Y51" s="1463" t="e">
        <v>#REF!</v>
      </c>
      <c r="Z51" s="1464" t="e">
        <v>#REF!</v>
      </c>
    </row>
    <row r="52" spans="2:26" ht="12.75">
      <c r="B52" s="1126">
        <v>26</v>
      </c>
      <c r="C52" s="365" t="s">
        <v>952</v>
      </c>
      <c r="D52" s="365" t="s">
        <v>779</v>
      </c>
      <c r="E52" s="365" t="s">
        <v>783</v>
      </c>
      <c r="F52" s="366">
        <v>2008</v>
      </c>
      <c r="G52" s="366">
        <v>12</v>
      </c>
      <c r="H52" s="367">
        <v>1.564215009943981</v>
      </c>
      <c r="I52" s="1127">
        <v>1.564215009943981</v>
      </c>
      <c r="J52" s="367">
        <v>0</v>
      </c>
      <c r="K52" s="368">
        <v>0</v>
      </c>
      <c r="L52" s="368">
        <v>0</v>
      </c>
      <c r="M52" s="368">
        <v>0</v>
      </c>
      <c r="N52" s="369">
        <v>0</v>
      </c>
      <c r="O52" s="368">
        <v>0.5297334860239471</v>
      </c>
      <c r="P52" s="370">
        <v>1.034481523920034</v>
      </c>
      <c r="Q52" s="370">
        <v>0</v>
      </c>
      <c r="R52" s="370">
        <v>0</v>
      </c>
      <c r="S52" s="369">
        <v>0</v>
      </c>
      <c r="T52" s="1462" t="s">
        <v>886</v>
      </c>
      <c r="U52" s="1463" t="e">
        <v>#REF!</v>
      </c>
      <c r="V52" s="1463" t="e">
        <v>#REF!</v>
      </c>
      <c r="W52" s="1463" t="e">
        <v>#REF!</v>
      </c>
      <c r="X52" s="1463" t="e">
        <v>#REF!</v>
      </c>
      <c r="Y52" s="1463" t="e">
        <v>#REF!</v>
      </c>
      <c r="Z52" s="1464" t="e">
        <v>#REF!</v>
      </c>
    </row>
    <row r="53" spans="2:26" ht="12.75">
      <c r="B53" s="1126">
        <v>27</v>
      </c>
      <c r="C53" s="365" t="s">
        <v>887</v>
      </c>
      <c r="D53" s="365" t="s">
        <v>878</v>
      </c>
      <c r="E53" s="365" t="s">
        <v>783</v>
      </c>
      <c r="F53" s="366">
        <v>2013</v>
      </c>
      <c r="G53" s="366">
        <v>39</v>
      </c>
      <c r="H53" s="367">
        <v>6.013198359020315</v>
      </c>
      <c r="I53" s="1127">
        <v>6.013198359020315</v>
      </c>
      <c r="J53" s="367">
        <v>0</v>
      </c>
      <c r="K53" s="368">
        <v>0</v>
      </c>
      <c r="L53" s="368">
        <v>0</v>
      </c>
      <c r="M53" s="368">
        <v>0</v>
      </c>
      <c r="N53" s="369">
        <v>0</v>
      </c>
      <c r="O53" s="368">
        <v>0</v>
      </c>
      <c r="P53" s="370">
        <v>0</v>
      </c>
      <c r="Q53" s="370">
        <v>0</v>
      </c>
      <c r="R53" s="370">
        <v>2.9929658193220656</v>
      </c>
      <c r="S53" s="369">
        <v>3.0202325396982497</v>
      </c>
      <c r="T53" s="1462" t="s">
        <v>789</v>
      </c>
      <c r="U53" s="1463" t="e">
        <v>#REF!</v>
      </c>
      <c r="V53" s="1463" t="e">
        <v>#REF!</v>
      </c>
      <c r="W53" s="1463" t="e">
        <v>#REF!</v>
      </c>
      <c r="X53" s="1463" t="e">
        <v>#REF!</v>
      </c>
      <c r="Y53" s="1463" t="e">
        <v>#REF!</v>
      </c>
      <c r="Z53" s="1464" t="e">
        <v>#REF!</v>
      </c>
    </row>
    <row r="54" spans="2:26" ht="12.75">
      <c r="B54" s="1126">
        <v>28</v>
      </c>
      <c r="C54" s="365" t="s">
        <v>790</v>
      </c>
      <c r="D54" s="365" t="s">
        <v>779</v>
      </c>
      <c r="E54" s="365" t="s">
        <v>783</v>
      </c>
      <c r="F54" s="366">
        <v>2010</v>
      </c>
      <c r="G54" s="366">
        <v>24</v>
      </c>
      <c r="H54" s="367">
        <v>1.046974247983964</v>
      </c>
      <c r="I54" s="1127">
        <v>1.046974247983964</v>
      </c>
      <c r="J54" s="367">
        <v>0</v>
      </c>
      <c r="K54" s="368">
        <v>0</v>
      </c>
      <c r="L54" s="368">
        <v>0</v>
      </c>
      <c r="M54" s="368">
        <v>0</v>
      </c>
      <c r="N54" s="369">
        <v>0</v>
      </c>
      <c r="O54" s="368">
        <v>0.5297334860239471</v>
      </c>
      <c r="P54" s="370">
        <v>0.517240761960017</v>
      </c>
      <c r="Q54" s="370">
        <v>0</v>
      </c>
      <c r="R54" s="370">
        <v>0</v>
      </c>
      <c r="S54" s="369">
        <v>0</v>
      </c>
      <c r="T54" s="1462" t="s">
        <v>791</v>
      </c>
      <c r="U54" s="1463" t="e">
        <v>#REF!</v>
      </c>
      <c r="V54" s="1463" t="e">
        <v>#REF!</v>
      </c>
      <c r="W54" s="1463" t="e">
        <v>#REF!</v>
      </c>
      <c r="X54" s="1463" t="e">
        <v>#REF!</v>
      </c>
      <c r="Y54" s="1463" t="e">
        <v>#REF!</v>
      </c>
      <c r="Z54" s="1464" t="e">
        <v>#REF!</v>
      </c>
    </row>
    <row r="55" spans="2:26" ht="12.75">
      <c r="B55" s="1126">
        <v>29</v>
      </c>
      <c r="C55" s="365" t="s">
        <v>679</v>
      </c>
      <c r="D55" s="365" t="s">
        <v>779</v>
      </c>
      <c r="E55" s="365" t="s">
        <v>783</v>
      </c>
      <c r="F55" s="366">
        <v>2008</v>
      </c>
      <c r="G55" s="366">
        <v>13.1</v>
      </c>
      <c r="H55" s="367">
        <v>1.046974247983964</v>
      </c>
      <c r="I55" s="1127">
        <v>1.046974247983964</v>
      </c>
      <c r="J55" s="367">
        <v>0</v>
      </c>
      <c r="K55" s="368">
        <v>0</v>
      </c>
      <c r="L55" s="368">
        <v>0</v>
      </c>
      <c r="M55" s="368">
        <v>0</v>
      </c>
      <c r="N55" s="369">
        <v>0</v>
      </c>
      <c r="O55" s="368">
        <v>0.5297334860239471</v>
      </c>
      <c r="P55" s="370">
        <v>0.517240761960017</v>
      </c>
      <c r="Q55" s="370">
        <v>0</v>
      </c>
      <c r="R55" s="370">
        <v>0</v>
      </c>
      <c r="S55" s="369">
        <v>0</v>
      </c>
      <c r="T55" s="1462" t="s">
        <v>680</v>
      </c>
      <c r="U55" s="1463" t="e">
        <v>#REF!</v>
      </c>
      <c r="V55" s="1463" t="e">
        <v>#REF!</v>
      </c>
      <c r="W55" s="1463" t="e">
        <v>#REF!</v>
      </c>
      <c r="X55" s="1463" t="e">
        <v>#REF!</v>
      </c>
      <c r="Y55" s="1463" t="e">
        <v>#REF!</v>
      </c>
      <c r="Z55" s="1464" t="e">
        <v>#REF!</v>
      </c>
    </row>
    <row r="56" spans="2:26" ht="12.75">
      <c r="B56" s="1126">
        <v>30</v>
      </c>
      <c r="C56" s="365" t="s">
        <v>681</v>
      </c>
      <c r="D56" s="365" t="s">
        <v>779</v>
      </c>
      <c r="E56" s="365" t="s">
        <v>780</v>
      </c>
      <c r="F56" s="366">
        <v>2007</v>
      </c>
      <c r="G56" s="366">
        <v>40</v>
      </c>
      <c r="H56" s="367">
        <v>1.0326012169223362</v>
      </c>
      <c r="I56" s="1127">
        <v>1.0326012169223362</v>
      </c>
      <c r="J56" s="367">
        <v>0</v>
      </c>
      <c r="K56" s="368">
        <v>0</v>
      </c>
      <c r="L56" s="368">
        <v>0</v>
      </c>
      <c r="M56" s="368">
        <v>0</v>
      </c>
      <c r="N56" s="369">
        <v>0</v>
      </c>
      <c r="O56" s="368">
        <v>0</v>
      </c>
      <c r="P56" s="370">
        <v>0</v>
      </c>
      <c r="Q56" s="370">
        <v>1.0326012169223362</v>
      </c>
      <c r="R56" s="370">
        <v>0</v>
      </c>
      <c r="S56" s="369">
        <v>0</v>
      </c>
      <c r="T56" s="1462" t="s">
        <v>792</v>
      </c>
      <c r="U56" s="1463" t="e">
        <v>#REF!</v>
      </c>
      <c r="V56" s="1463" t="e">
        <v>#REF!</v>
      </c>
      <c r="W56" s="1463" t="e">
        <v>#REF!</v>
      </c>
      <c r="X56" s="1463" t="e">
        <v>#REF!</v>
      </c>
      <c r="Y56" s="1463" t="e">
        <v>#REF!</v>
      </c>
      <c r="Z56" s="1464" t="e">
        <v>#REF!</v>
      </c>
    </row>
    <row r="57" spans="2:26" ht="12.75">
      <c r="B57" s="1126">
        <v>31</v>
      </c>
      <c r="C57" s="365" t="s">
        <v>793</v>
      </c>
      <c r="D57" s="365" t="s">
        <v>878</v>
      </c>
      <c r="E57" s="365" t="s">
        <v>783</v>
      </c>
      <c r="F57" s="366">
        <v>2007</v>
      </c>
      <c r="G57" s="366">
        <v>117</v>
      </c>
      <c r="H57" s="367">
        <v>0.7416268804335259</v>
      </c>
      <c r="I57" s="1127">
        <v>0.7416268804335259</v>
      </c>
      <c r="J57" s="367">
        <v>0</v>
      </c>
      <c r="K57" s="368">
        <v>0</v>
      </c>
      <c r="L57" s="368">
        <v>0</v>
      </c>
      <c r="M57" s="368">
        <v>0</v>
      </c>
      <c r="N57" s="369">
        <v>0</v>
      </c>
      <c r="O57" s="368">
        <v>0.7416268804335259</v>
      </c>
      <c r="P57" s="370">
        <v>0</v>
      </c>
      <c r="Q57" s="370">
        <v>0</v>
      </c>
      <c r="R57" s="370">
        <v>0</v>
      </c>
      <c r="S57" s="369">
        <v>0</v>
      </c>
      <c r="T57" s="1462" t="s">
        <v>794</v>
      </c>
      <c r="U57" s="1463" t="e">
        <v>#REF!</v>
      </c>
      <c r="V57" s="1463" t="e">
        <v>#REF!</v>
      </c>
      <c r="W57" s="1463" t="e">
        <v>#REF!</v>
      </c>
      <c r="X57" s="1463" t="e">
        <v>#REF!</v>
      </c>
      <c r="Y57" s="1463" t="e">
        <v>#REF!</v>
      </c>
      <c r="Z57" s="1464" t="e">
        <v>#REF!</v>
      </c>
    </row>
    <row r="58" spans="2:26" ht="12.75">
      <c r="B58" s="1126">
        <v>32</v>
      </c>
      <c r="C58" s="365" t="s">
        <v>795</v>
      </c>
      <c r="D58" s="365" t="s">
        <v>878</v>
      </c>
      <c r="E58" s="365" t="s">
        <v>788</v>
      </c>
      <c r="F58" s="366">
        <v>2014</v>
      </c>
      <c r="G58" s="366">
        <v>117</v>
      </c>
      <c r="H58" s="367">
        <v>2.073516675524247</v>
      </c>
      <c r="I58" s="1127">
        <v>2.073516675524247</v>
      </c>
      <c r="J58" s="367">
        <v>0</v>
      </c>
      <c r="K58" s="368">
        <v>0</v>
      </c>
      <c r="L58" s="368">
        <v>0</v>
      </c>
      <c r="M58" s="368">
        <v>0</v>
      </c>
      <c r="N58" s="369">
        <v>0</v>
      </c>
      <c r="O58" s="368">
        <v>0</v>
      </c>
      <c r="P58" s="370">
        <v>0</v>
      </c>
      <c r="Q58" s="370">
        <v>0</v>
      </c>
      <c r="R58" s="370">
        <v>1.0320571790765745</v>
      </c>
      <c r="S58" s="369">
        <v>1.0414594964476727</v>
      </c>
      <c r="T58" s="1462" t="s">
        <v>796</v>
      </c>
      <c r="U58" s="1463" t="e">
        <v>#REF!</v>
      </c>
      <c r="V58" s="1463" t="e">
        <v>#REF!</v>
      </c>
      <c r="W58" s="1463" t="e">
        <v>#REF!</v>
      </c>
      <c r="X58" s="1463" t="e">
        <v>#REF!</v>
      </c>
      <c r="Y58" s="1463" t="e">
        <v>#REF!</v>
      </c>
      <c r="Z58" s="1464" t="e">
        <v>#REF!</v>
      </c>
    </row>
    <row r="59" spans="2:26" ht="12.75">
      <c r="B59" s="1126">
        <v>33</v>
      </c>
      <c r="C59" s="365" t="s">
        <v>797</v>
      </c>
      <c r="D59" s="365" t="s">
        <v>779</v>
      </c>
      <c r="E59" s="365" t="s">
        <v>783</v>
      </c>
      <c r="F59" s="366">
        <v>2012</v>
      </c>
      <c r="G59" s="366">
        <v>24</v>
      </c>
      <c r="H59" s="367">
        <v>1.239012652737651</v>
      </c>
      <c r="I59" s="1127">
        <v>1.239012652737651</v>
      </c>
      <c r="J59" s="367">
        <v>0</v>
      </c>
      <c r="K59" s="368">
        <v>0</v>
      </c>
      <c r="L59" s="368">
        <v>0</v>
      </c>
      <c r="M59" s="368">
        <v>0</v>
      </c>
      <c r="N59" s="369">
        <v>0</v>
      </c>
      <c r="O59" s="368">
        <v>0</v>
      </c>
      <c r="P59" s="370">
        <v>0</v>
      </c>
      <c r="Q59" s="370">
        <v>1.0326012169223362</v>
      </c>
      <c r="R59" s="370">
        <v>0.2064114358153149</v>
      </c>
      <c r="S59" s="369">
        <v>0</v>
      </c>
      <c r="T59" s="1462" t="s">
        <v>8</v>
      </c>
      <c r="U59" s="1463" t="e">
        <v>#REF!</v>
      </c>
      <c r="V59" s="1463" t="e">
        <v>#REF!</v>
      </c>
      <c r="W59" s="1463" t="e">
        <v>#REF!</v>
      </c>
      <c r="X59" s="1463" t="e">
        <v>#REF!</v>
      </c>
      <c r="Y59" s="1463" t="e">
        <v>#REF!</v>
      </c>
      <c r="Z59" s="1464" t="e">
        <v>#REF!</v>
      </c>
    </row>
    <row r="60" spans="2:26" ht="12.75">
      <c r="B60" s="1126">
        <v>34</v>
      </c>
      <c r="C60" s="365" t="s">
        <v>9</v>
      </c>
      <c r="D60" s="365" t="s">
        <v>779</v>
      </c>
      <c r="E60" s="365" t="s">
        <v>780</v>
      </c>
      <c r="F60" s="366">
        <v>2008</v>
      </c>
      <c r="G60" s="366">
        <v>16</v>
      </c>
      <c r="H60" s="367">
        <v>0.5297334860239471</v>
      </c>
      <c r="I60" s="1127">
        <v>0.5297334860239471</v>
      </c>
      <c r="J60" s="367">
        <v>0</v>
      </c>
      <c r="K60" s="368">
        <v>0</v>
      </c>
      <c r="L60" s="368">
        <v>0</v>
      </c>
      <c r="M60" s="368">
        <v>0</v>
      </c>
      <c r="N60" s="369">
        <v>0</v>
      </c>
      <c r="O60" s="368">
        <v>0.5297334860239471</v>
      </c>
      <c r="P60" s="370">
        <v>0</v>
      </c>
      <c r="Q60" s="370">
        <v>0</v>
      </c>
      <c r="R60" s="370">
        <v>0</v>
      </c>
      <c r="S60" s="369">
        <v>0</v>
      </c>
      <c r="T60" s="1462" t="s">
        <v>71</v>
      </c>
      <c r="U60" s="1463" t="e">
        <v>#REF!</v>
      </c>
      <c r="V60" s="1463" t="e">
        <v>#REF!</v>
      </c>
      <c r="W60" s="1463" t="e">
        <v>#REF!</v>
      </c>
      <c r="X60" s="1463" t="e">
        <v>#REF!</v>
      </c>
      <c r="Y60" s="1463" t="e">
        <v>#REF!</v>
      </c>
      <c r="Z60" s="1464" t="e">
        <v>#REF!</v>
      </c>
    </row>
    <row r="61" spans="2:26" ht="12.75">
      <c r="B61" s="1126">
        <v>35</v>
      </c>
      <c r="C61" s="365" t="s">
        <v>41</v>
      </c>
      <c r="D61" s="365" t="s">
        <v>779</v>
      </c>
      <c r="E61" s="365" t="s">
        <v>783</v>
      </c>
      <c r="F61" s="366">
        <v>2008</v>
      </c>
      <c r="G61" s="366">
        <v>7.5</v>
      </c>
      <c r="H61" s="367">
        <v>0.8475735776383154</v>
      </c>
      <c r="I61" s="1127">
        <v>0.8475735776383154</v>
      </c>
      <c r="J61" s="367">
        <v>0</v>
      </c>
      <c r="K61" s="368">
        <v>0</v>
      </c>
      <c r="L61" s="368">
        <v>0</v>
      </c>
      <c r="M61" s="368">
        <v>0</v>
      </c>
      <c r="N61" s="369">
        <v>0</v>
      </c>
      <c r="O61" s="368">
        <v>0.8475735776383154</v>
      </c>
      <c r="P61" s="370">
        <v>0</v>
      </c>
      <c r="Q61" s="370">
        <v>0</v>
      </c>
      <c r="R61" s="370">
        <v>0</v>
      </c>
      <c r="S61" s="369">
        <v>0</v>
      </c>
      <c r="T61" s="1462" t="s">
        <v>26</v>
      </c>
      <c r="U61" s="1463" t="e">
        <v>#REF!</v>
      </c>
      <c r="V61" s="1463" t="e">
        <v>#REF!</v>
      </c>
      <c r="W61" s="1463" t="e">
        <v>#REF!</v>
      </c>
      <c r="X61" s="1463" t="e">
        <v>#REF!</v>
      </c>
      <c r="Y61" s="1463" t="e">
        <v>#REF!</v>
      </c>
      <c r="Z61" s="1464" t="e">
        <v>#REF!</v>
      </c>
    </row>
    <row r="62" spans="2:26" ht="12.75">
      <c r="B62" s="1126">
        <v>36</v>
      </c>
      <c r="C62" s="365" t="s">
        <v>911</v>
      </c>
      <c r="D62" s="365" t="s">
        <v>878</v>
      </c>
      <c r="E62" s="365" t="s">
        <v>783</v>
      </c>
      <c r="F62" s="366">
        <v>2015</v>
      </c>
      <c r="G62" s="366">
        <v>117</v>
      </c>
      <c r="H62" s="367">
        <v>0.5207297482238363</v>
      </c>
      <c r="I62" s="1127">
        <v>0.5207297482238363</v>
      </c>
      <c r="J62" s="367">
        <v>0</v>
      </c>
      <c r="K62" s="368">
        <v>0</v>
      </c>
      <c r="L62" s="368">
        <v>0</v>
      </c>
      <c r="M62" s="368">
        <v>0</v>
      </c>
      <c r="N62" s="369">
        <v>0</v>
      </c>
      <c r="O62" s="368">
        <v>0</v>
      </c>
      <c r="P62" s="370">
        <v>0</v>
      </c>
      <c r="Q62" s="370">
        <v>0</v>
      </c>
      <c r="R62" s="370">
        <v>0</v>
      </c>
      <c r="S62" s="369">
        <v>0.5207297482238363</v>
      </c>
      <c r="T62" s="1462" t="s">
        <v>912</v>
      </c>
      <c r="U62" s="1463" t="e">
        <v>#REF!</v>
      </c>
      <c r="V62" s="1463" t="e">
        <v>#REF!</v>
      </c>
      <c r="W62" s="1463" t="e">
        <v>#REF!</v>
      </c>
      <c r="X62" s="1463" t="e">
        <v>#REF!</v>
      </c>
      <c r="Y62" s="1463" t="e">
        <v>#REF!</v>
      </c>
      <c r="Z62" s="1464" t="e">
        <v>#REF!</v>
      </c>
    </row>
    <row r="63" spans="2:26" ht="12.75">
      <c r="B63" s="1126">
        <v>37</v>
      </c>
      <c r="C63" s="365" t="s">
        <v>913</v>
      </c>
      <c r="D63" s="365" t="s">
        <v>779</v>
      </c>
      <c r="E63" s="365" t="s">
        <v>780</v>
      </c>
      <c r="F63" s="366">
        <v>2011</v>
      </c>
      <c r="G63" s="366">
        <v>31</v>
      </c>
      <c r="H63" s="367">
        <v>0.5163006084611681</v>
      </c>
      <c r="I63" s="1127">
        <v>0.5163006084611681</v>
      </c>
      <c r="J63" s="367">
        <v>0</v>
      </c>
      <c r="K63" s="368">
        <v>0</v>
      </c>
      <c r="L63" s="368">
        <v>0</v>
      </c>
      <c r="M63" s="368">
        <v>0</v>
      </c>
      <c r="N63" s="369">
        <v>0</v>
      </c>
      <c r="O63" s="368">
        <v>0</v>
      </c>
      <c r="P63" s="370">
        <v>0</v>
      </c>
      <c r="Q63" s="370">
        <v>0.5163006084611681</v>
      </c>
      <c r="R63" s="370">
        <v>0</v>
      </c>
      <c r="S63" s="369">
        <v>0</v>
      </c>
      <c r="T63" s="1462" t="s">
        <v>914</v>
      </c>
      <c r="U63" s="1463" t="e">
        <v>#REF!</v>
      </c>
      <c r="V63" s="1463" t="e">
        <v>#REF!</v>
      </c>
      <c r="W63" s="1463" t="e">
        <v>#REF!</v>
      </c>
      <c r="X63" s="1463" t="e">
        <v>#REF!</v>
      </c>
      <c r="Y63" s="1463" t="e">
        <v>#REF!</v>
      </c>
      <c r="Z63" s="1464" t="e">
        <v>#REF!</v>
      </c>
    </row>
    <row r="64" spans="2:26" ht="12.75">
      <c r="B64" s="1126">
        <v>38</v>
      </c>
      <c r="C64" s="365" t="s">
        <v>915</v>
      </c>
      <c r="D64" s="365" t="s">
        <v>779</v>
      </c>
      <c r="E64" s="365" t="s">
        <v>783</v>
      </c>
      <c r="F64" s="366">
        <v>2011</v>
      </c>
      <c r="G64" s="366">
        <v>16</v>
      </c>
      <c r="H64" s="367">
        <v>1.033541370421185</v>
      </c>
      <c r="I64" s="1127">
        <v>1.033541370421185</v>
      </c>
      <c r="J64" s="367">
        <v>0</v>
      </c>
      <c r="K64" s="368">
        <v>0</v>
      </c>
      <c r="L64" s="368">
        <v>0</v>
      </c>
      <c r="M64" s="368">
        <v>0</v>
      </c>
      <c r="N64" s="369">
        <v>0</v>
      </c>
      <c r="O64" s="368">
        <v>0</v>
      </c>
      <c r="P64" s="370">
        <v>0.517240761960017</v>
      </c>
      <c r="Q64" s="370">
        <v>0.5163006084611681</v>
      </c>
      <c r="R64" s="370">
        <v>0</v>
      </c>
      <c r="S64" s="369">
        <v>0</v>
      </c>
      <c r="T64" s="1462" t="s">
        <v>916</v>
      </c>
      <c r="U64" s="1463" t="e">
        <v>#REF!</v>
      </c>
      <c r="V64" s="1463" t="e">
        <v>#REF!</v>
      </c>
      <c r="W64" s="1463" t="e">
        <v>#REF!</v>
      </c>
      <c r="X64" s="1463" t="e">
        <v>#REF!</v>
      </c>
      <c r="Y64" s="1463" t="e">
        <v>#REF!</v>
      </c>
      <c r="Z64" s="1464" t="e">
        <v>#REF!</v>
      </c>
    </row>
    <row r="65" spans="2:26" ht="12.75">
      <c r="B65" s="1126">
        <v>39</v>
      </c>
      <c r="C65" s="365" t="s">
        <v>31</v>
      </c>
      <c r="D65" s="365" t="s">
        <v>878</v>
      </c>
      <c r="E65" s="365" t="s">
        <v>788</v>
      </c>
      <c r="F65" s="366">
        <v>2014</v>
      </c>
      <c r="G65" s="366">
        <v>190</v>
      </c>
      <c r="H65" s="367">
        <v>15.134092320239922</v>
      </c>
      <c r="I65" s="1127">
        <v>15.134092320239922</v>
      </c>
      <c r="J65" s="367">
        <v>0</v>
      </c>
      <c r="K65" s="368">
        <v>0</v>
      </c>
      <c r="L65" s="368">
        <v>0</v>
      </c>
      <c r="M65" s="368">
        <v>0</v>
      </c>
      <c r="N65" s="369">
        <v>0</v>
      </c>
      <c r="O65" s="368">
        <v>0</v>
      </c>
      <c r="P65" s="370">
        <v>0</v>
      </c>
      <c r="Q65" s="370">
        <v>4.027144745997111</v>
      </c>
      <c r="R65" s="370">
        <v>4.02502299839864</v>
      </c>
      <c r="S65" s="369">
        <v>7.081924575844172</v>
      </c>
      <c r="T65" s="1462" t="s">
        <v>32</v>
      </c>
      <c r="U65" s="1463" t="e">
        <v>#REF!</v>
      </c>
      <c r="V65" s="1463" t="e">
        <v>#REF!</v>
      </c>
      <c r="W65" s="1463" t="e">
        <v>#REF!</v>
      </c>
      <c r="X65" s="1463" t="e">
        <v>#REF!</v>
      </c>
      <c r="Y65" s="1463" t="e">
        <v>#REF!</v>
      </c>
      <c r="Z65" s="1464" t="e">
        <v>#REF!</v>
      </c>
    </row>
    <row r="66" spans="2:26" ht="12.75">
      <c r="B66" s="1126">
        <v>40</v>
      </c>
      <c r="C66" s="365" t="s">
        <v>33</v>
      </c>
      <c r="D66" s="365" t="s">
        <v>779</v>
      </c>
      <c r="E66" s="365" t="s">
        <v>780</v>
      </c>
      <c r="F66" s="366">
        <v>2008</v>
      </c>
      <c r="G66" s="366">
        <v>10</v>
      </c>
      <c r="H66" s="367">
        <v>0.20689630478400683</v>
      </c>
      <c r="I66" s="1127">
        <v>0.20689630478400683</v>
      </c>
      <c r="J66" s="367">
        <v>0</v>
      </c>
      <c r="K66" s="368">
        <v>0</v>
      </c>
      <c r="L66" s="368">
        <v>0</v>
      </c>
      <c r="M66" s="368">
        <v>0</v>
      </c>
      <c r="N66" s="369">
        <v>0</v>
      </c>
      <c r="O66" s="368">
        <v>0</v>
      </c>
      <c r="P66" s="370">
        <v>0.20689630478400683</v>
      </c>
      <c r="Q66" s="370">
        <v>0</v>
      </c>
      <c r="R66" s="370">
        <v>0</v>
      </c>
      <c r="S66" s="369">
        <v>0</v>
      </c>
      <c r="T66" s="1462" t="s">
        <v>830</v>
      </c>
      <c r="U66" s="1463" t="e">
        <v>#REF!</v>
      </c>
      <c r="V66" s="1463" t="e">
        <v>#REF!</v>
      </c>
      <c r="W66" s="1463" t="e">
        <v>#REF!</v>
      </c>
      <c r="X66" s="1463" t="e">
        <v>#REF!</v>
      </c>
      <c r="Y66" s="1463" t="e">
        <v>#REF!</v>
      </c>
      <c r="Z66" s="1464" t="e">
        <v>#REF!</v>
      </c>
    </row>
    <row r="67" spans="2:26" ht="12.75">
      <c r="B67" s="1126">
        <v>41</v>
      </c>
      <c r="C67" s="365" t="s">
        <v>831</v>
      </c>
      <c r="D67" s="365" t="s">
        <v>878</v>
      </c>
      <c r="E67" s="365" t="s">
        <v>783</v>
      </c>
      <c r="F67" s="366">
        <v>2014</v>
      </c>
      <c r="G67" s="366">
        <v>40</v>
      </c>
      <c r="H67" s="367">
        <v>3.0202325396982497</v>
      </c>
      <c r="I67" s="1127">
        <v>3.0202325396982497</v>
      </c>
      <c r="J67" s="367">
        <v>0</v>
      </c>
      <c r="K67" s="368">
        <v>0</v>
      </c>
      <c r="L67" s="368">
        <v>0</v>
      </c>
      <c r="M67" s="368">
        <v>0</v>
      </c>
      <c r="N67" s="369">
        <v>0</v>
      </c>
      <c r="O67" s="368">
        <v>0</v>
      </c>
      <c r="P67" s="370">
        <v>0</v>
      </c>
      <c r="Q67" s="370">
        <v>0</v>
      </c>
      <c r="R67" s="370">
        <v>0</v>
      </c>
      <c r="S67" s="369">
        <v>3.0202325396982497</v>
      </c>
      <c r="T67" s="1462" t="s">
        <v>741</v>
      </c>
      <c r="U67" s="1463" t="e">
        <v>#REF!</v>
      </c>
      <c r="V67" s="1463" t="e">
        <v>#REF!</v>
      </c>
      <c r="W67" s="1463" t="e">
        <v>#REF!</v>
      </c>
      <c r="X67" s="1463" t="e">
        <v>#REF!</v>
      </c>
      <c r="Y67" s="1463" t="e">
        <v>#REF!</v>
      </c>
      <c r="Z67" s="1464" t="e">
        <v>#REF!</v>
      </c>
    </row>
    <row r="68" spans="2:26" ht="12.75">
      <c r="B68" s="1126">
        <v>42</v>
      </c>
      <c r="C68" s="365" t="s">
        <v>742</v>
      </c>
      <c r="D68" s="365" t="s">
        <v>779</v>
      </c>
      <c r="E68" s="365" t="s">
        <v>780</v>
      </c>
      <c r="F68" s="366">
        <v>2010</v>
      </c>
      <c r="G68" s="366">
        <v>40</v>
      </c>
      <c r="H68" s="367">
        <v>1.2497513957372068</v>
      </c>
      <c r="I68" s="1127">
        <v>1.2497513957372068</v>
      </c>
      <c r="J68" s="367">
        <v>0</v>
      </c>
      <c r="K68" s="368">
        <v>0</v>
      </c>
      <c r="L68" s="368">
        <v>0</v>
      </c>
      <c r="M68" s="368">
        <v>0</v>
      </c>
      <c r="N68" s="369">
        <v>0</v>
      </c>
      <c r="O68" s="368">
        <v>0</v>
      </c>
      <c r="P68" s="370">
        <v>0</v>
      </c>
      <c r="Q68" s="370">
        <v>0</v>
      </c>
      <c r="R68" s="370">
        <v>0</v>
      </c>
      <c r="S68" s="369">
        <v>1.2497513957372068</v>
      </c>
      <c r="T68" s="1462" t="s">
        <v>832</v>
      </c>
      <c r="U68" s="1463" t="e">
        <v>#REF!</v>
      </c>
      <c r="V68" s="1463" t="e">
        <v>#REF!</v>
      </c>
      <c r="W68" s="1463" t="e">
        <v>#REF!</v>
      </c>
      <c r="X68" s="1463" t="e">
        <v>#REF!</v>
      </c>
      <c r="Y68" s="1463" t="e">
        <v>#REF!</v>
      </c>
      <c r="Z68" s="1464" t="e">
        <v>#REF!</v>
      </c>
    </row>
    <row r="69" spans="2:26" ht="12.75">
      <c r="B69" s="1126">
        <v>43</v>
      </c>
      <c r="C69" s="365" t="s">
        <v>833</v>
      </c>
      <c r="D69" s="365" t="s">
        <v>779</v>
      </c>
      <c r="E69" s="365" t="s">
        <v>783</v>
      </c>
      <c r="F69" s="366">
        <v>2014</v>
      </c>
      <c r="G69" s="366">
        <v>9.5</v>
      </c>
      <c r="H69" s="367">
        <v>1.3538973453819743</v>
      </c>
      <c r="I69" s="1127">
        <v>1.3538973453819743</v>
      </c>
      <c r="J69" s="367">
        <v>0</v>
      </c>
      <c r="K69" s="368">
        <v>0</v>
      </c>
      <c r="L69" s="368">
        <v>0</v>
      </c>
      <c r="M69" s="368">
        <v>0</v>
      </c>
      <c r="N69" s="369">
        <v>0</v>
      </c>
      <c r="O69" s="368">
        <v>0</v>
      </c>
      <c r="P69" s="370">
        <v>0</v>
      </c>
      <c r="Q69" s="370">
        <v>0</v>
      </c>
      <c r="R69" s="370">
        <v>0</v>
      </c>
      <c r="S69" s="369">
        <v>1.3538973453819743</v>
      </c>
      <c r="T69" s="1462" t="s">
        <v>834</v>
      </c>
      <c r="U69" s="1463" t="e">
        <v>#REF!</v>
      </c>
      <c r="V69" s="1463" t="e">
        <v>#REF!</v>
      </c>
      <c r="W69" s="1463" t="e">
        <v>#REF!</v>
      </c>
      <c r="X69" s="1463" t="e">
        <v>#REF!</v>
      </c>
      <c r="Y69" s="1463" t="e">
        <v>#REF!</v>
      </c>
      <c r="Z69" s="1464" t="e">
        <v>#REF!</v>
      </c>
    </row>
    <row r="70" spans="2:26" ht="12.75">
      <c r="B70" s="1126">
        <v>44</v>
      </c>
      <c r="C70" s="365" t="s">
        <v>835</v>
      </c>
      <c r="D70" s="365" t="s">
        <v>779</v>
      </c>
      <c r="E70" s="365" t="s">
        <v>788</v>
      </c>
      <c r="F70" s="366">
        <v>2008</v>
      </c>
      <c r="G70" s="366">
        <v>16</v>
      </c>
      <c r="H70" s="367">
        <v>1.589200458071841</v>
      </c>
      <c r="I70" s="1127">
        <v>1.589200458071841</v>
      </c>
      <c r="J70" s="367">
        <v>0</v>
      </c>
      <c r="K70" s="368">
        <v>0</v>
      </c>
      <c r="L70" s="368">
        <v>0</v>
      </c>
      <c r="M70" s="368">
        <v>0</v>
      </c>
      <c r="N70" s="369">
        <v>0</v>
      </c>
      <c r="O70" s="368">
        <v>1.589200458071841</v>
      </c>
      <c r="P70" s="370">
        <v>0</v>
      </c>
      <c r="Q70" s="370">
        <v>0</v>
      </c>
      <c r="R70" s="370">
        <v>0</v>
      </c>
      <c r="S70" s="369">
        <v>0</v>
      </c>
      <c r="T70" s="1462" t="s">
        <v>929</v>
      </c>
      <c r="U70" s="1463" t="e">
        <v>#REF!</v>
      </c>
      <c r="V70" s="1463" t="e">
        <v>#REF!</v>
      </c>
      <c r="W70" s="1463" t="e">
        <v>#REF!</v>
      </c>
      <c r="X70" s="1463" t="e">
        <v>#REF!</v>
      </c>
      <c r="Y70" s="1463" t="e">
        <v>#REF!</v>
      </c>
      <c r="Z70" s="1464" t="e">
        <v>#REF!</v>
      </c>
    </row>
    <row r="71" spans="2:26" ht="12.75">
      <c r="B71" s="1126">
        <v>45</v>
      </c>
      <c r="C71" s="365" t="s">
        <v>930</v>
      </c>
      <c r="D71" s="365" t="s">
        <v>779</v>
      </c>
      <c r="E71" s="365" t="s">
        <v>783</v>
      </c>
      <c r="F71" s="366">
        <v>2007</v>
      </c>
      <c r="G71" s="366">
        <v>40</v>
      </c>
      <c r="H71" s="367">
        <v>2.330827338505367</v>
      </c>
      <c r="I71" s="1127">
        <v>2.330827338505367</v>
      </c>
      <c r="J71" s="367">
        <v>0</v>
      </c>
      <c r="K71" s="368">
        <v>0</v>
      </c>
      <c r="L71" s="368">
        <v>0</v>
      </c>
      <c r="M71" s="368">
        <v>0</v>
      </c>
      <c r="N71" s="369">
        <v>0</v>
      </c>
      <c r="O71" s="368">
        <v>2.330827338505367</v>
      </c>
      <c r="P71" s="370">
        <v>0</v>
      </c>
      <c r="Q71" s="370">
        <v>0</v>
      </c>
      <c r="R71" s="370">
        <v>0</v>
      </c>
      <c r="S71" s="369">
        <v>0</v>
      </c>
      <c r="T71" s="1462" t="s">
        <v>52</v>
      </c>
      <c r="U71" s="1463" t="e">
        <v>#REF!</v>
      </c>
      <c r="V71" s="1463" t="e">
        <v>#REF!</v>
      </c>
      <c r="W71" s="1463" t="e">
        <v>#REF!</v>
      </c>
      <c r="X71" s="1463" t="e">
        <v>#REF!</v>
      </c>
      <c r="Y71" s="1463" t="e">
        <v>#REF!</v>
      </c>
      <c r="Z71" s="1464" t="e">
        <v>#REF!</v>
      </c>
    </row>
    <row r="72" spans="2:26" ht="12.75">
      <c r="B72" s="1126">
        <v>46</v>
      </c>
      <c r="C72" s="365" t="s">
        <v>53</v>
      </c>
      <c r="D72" s="365" t="s">
        <v>779</v>
      </c>
      <c r="E72" s="365" t="s">
        <v>783</v>
      </c>
      <c r="F72" s="366">
        <v>2011</v>
      </c>
      <c r="G72" s="366">
        <v>21.75</v>
      </c>
      <c r="H72" s="367">
        <v>2.4901004741033157</v>
      </c>
      <c r="I72" s="1127">
        <v>2.4901004741033157</v>
      </c>
      <c r="J72" s="367">
        <v>0</v>
      </c>
      <c r="K72" s="368">
        <v>0</v>
      </c>
      <c r="L72" s="368">
        <v>0</v>
      </c>
      <c r="M72" s="368">
        <v>0</v>
      </c>
      <c r="N72" s="369">
        <v>0</v>
      </c>
      <c r="O72" s="368">
        <v>0</v>
      </c>
      <c r="P72" s="370">
        <v>0</v>
      </c>
      <c r="Q72" s="370">
        <v>0</v>
      </c>
      <c r="R72" s="370">
        <v>1.0320571790765745</v>
      </c>
      <c r="S72" s="369">
        <v>1.4580432950267415</v>
      </c>
      <c r="T72" s="1462" t="s">
        <v>72</v>
      </c>
      <c r="U72" s="1463" t="e">
        <v>#REF!</v>
      </c>
      <c r="V72" s="1463" t="e">
        <v>#REF!</v>
      </c>
      <c r="W72" s="1463" t="e">
        <v>#REF!</v>
      </c>
      <c r="X72" s="1463" t="e">
        <v>#REF!</v>
      </c>
      <c r="Y72" s="1463" t="e">
        <v>#REF!</v>
      </c>
      <c r="Z72" s="1464" t="e">
        <v>#REF!</v>
      </c>
    </row>
    <row r="73" spans="2:26" ht="12.75">
      <c r="B73" s="1126">
        <v>47</v>
      </c>
      <c r="C73" s="365" t="s">
        <v>73</v>
      </c>
      <c r="D73" s="365" t="s">
        <v>878</v>
      </c>
      <c r="E73" s="365" t="s">
        <v>788</v>
      </c>
      <c r="F73" s="366">
        <v>2008</v>
      </c>
      <c r="G73" s="366">
        <v>190</v>
      </c>
      <c r="H73" s="367">
        <v>4.131921190986787</v>
      </c>
      <c r="I73" s="1127">
        <v>4.131921190986787</v>
      </c>
      <c r="J73" s="367">
        <v>0</v>
      </c>
      <c r="K73" s="368">
        <v>0</v>
      </c>
      <c r="L73" s="368">
        <v>0</v>
      </c>
      <c r="M73" s="368">
        <v>0</v>
      </c>
      <c r="N73" s="369">
        <v>0</v>
      </c>
      <c r="O73" s="368">
        <v>4.131921190986787</v>
      </c>
      <c r="P73" s="370">
        <v>0</v>
      </c>
      <c r="Q73" s="370">
        <v>0</v>
      </c>
      <c r="R73" s="370">
        <v>0</v>
      </c>
      <c r="S73" s="369">
        <v>0</v>
      </c>
      <c r="T73" s="1462" t="s">
        <v>74</v>
      </c>
      <c r="U73" s="1463" t="e">
        <v>#REF!</v>
      </c>
      <c r="V73" s="1463" t="e">
        <v>#REF!</v>
      </c>
      <c r="W73" s="1463" t="e">
        <v>#REF!</v>
      </c>
      <c r="X73" s="1463" t="e">
        <v>#REF!</v>
      </c>
      <c r="Y73" s="1463" t="e">
        <v>#REF!</v>
      </c>
      <c r="Z73" s="1464" t="e">
        <v>#REF!</v>
      </c>
    </row>
    <row r="74" spans="2:26" ht="12.75">
      <c r="B74" s="1126">
        <v>48</v>
      </c>
      <c r="C74" s="365" t="s">
        <v>75</v>
      </c>
      <c r="D74" s="365" t="s">
        <v>878</v>
      </c>
      <c r="E74" s="365" t="s">
        <v>783</v>
      </c>
      <c r="F74" s="366">
        <v>2010</v>
      </c>
      <c r="G74" s="366">
        <v>117</v>
      </c>
      <c r="H74" s="367">
        <v>1.9655148954480646</v>
      </c>
      <c r="I74" s="1127">
        <v>1.9655148954480646</v>
      </c>
      <c r="J74" s="367">
        <v>0</v>
      </c>
      <c r="K74" s="368">
        <v>0</v>
      </c>
      <c r="L74" s="368">
        <v>0</v>
      </c>
      <c r="M74" s="368">
        <v>0</v>
      </c>
      <c r="N74" s="369">
        <v>0</v>
      </c>
      <c r="O74" s="368">
        <v>0</v>
      </c>
      <c r="P74" s="370">
        <v>1.9655148954480646</v>
      </c>
      <c r="Q74" s="370">
        <v>0</v>
      </c>
      <c r="R74" s="370">
        <v>0</v>
      </c>
      <c r="S74" s="369">
        <v>0</v>
      </c>
      <c r="T74" s="1462" t="s">
        <v>42</v>
      </c>
      <c r="U74" s="1463" t="e">
        <v>#REF!</v>
      </c>
      <c r="V74" s="1463" t="e">
        <v>#REF!</v>
      </c>
      <c r="W74" s="1463" t="e">
        <v>#REF!</v>
      </c>
      <c r="X74" s="1463" t="e">
        <v>#REF!</v>
      </c>
      <c r="Y74" s="1463" t="e">
        <v>#REF!</v>
      </c>
      <c r="Z74" s="1464" t="e">
        <v>#REF!</v>
      </c>
    </row>
    <row r="75" spans="2:26" ht="12.75">
      <c r="B75" s="1126">
        <v>49</v>
      </c>
      <c r="C75" s="365" t="s">
        <v>43</v>
      </c>
      <c r="D75" s="365" t="s">
        <v>779</v>
      </c>
      <c r="E75" s="365" t="s">
        <v>783</v>
      </c>
      <c r="F75" s="366">
        <v>2008</v>
      </c>
      <c r="G75" s="366">
        <v>16</v>
      </c>
      <c r="H75" s="367">
        <v>2.3992958635183665</v>
      </c>
      <c r="I75" s="1127">
        <v>2.3992958635183665</v>
      </c>
      <c r="J75" s="367">
        <v>0</v>
      </c>
      <c r="K75" s="368">
        <v>0</v>
      </c>
      <c r="L75" s="368">
        <v>0</v>
      </c>
      <c r="M75" s="368">
        <v>0</v>
      </c>
      <c r="N75" s="369">
        <v>0</v>
      </c>
      <c r="O75" s="368">
        <v>0.8475735776383154</v>
      </c>
      <c r="P75" s="370">
        <v>1.5517222858800512</v>
      </c>
      <c r="Q75" s="370">
        <v>0</v>
      </c>
      <c r="R75" s="370">
        <v>0</v>
      </c>
      <c r="S75" s="369">
        <v>0</v>
      </c>
      <c r="T75" s="1462" t="s">
        <v>28</v>
      </c>
      <c r="U75" s="1463" t="e">
        <v>#REF!</v>
      </c>
      <c r="V75" s="1463" t="e">
        <v>#REF!</v>
      </c>
      <c r="W75" s="1463" t="e">
        <v>#REF!</v>
      </c>
      <c r="X75" s="1463" t="e">
        <v>#REF!</v>
      </c>
      <c r="Y75" s="1463" t="e">
        <v>#REF!</v>
      </c>
      <c r="Z75" s="1464" t="e">
        <v>#REF!</v>
      </c>
    </row>
    <row r="76" spans="2:26" ht="12.75">
      <c r="B76" s="1126">
        <v>50</v>
      </c>
      <c r="C76" s="365" t="s">
        <v>29</v>
      </c>
      <c r="D76" s="365" t="s">
        <v>779</v>
      </c>
      <c r="E76" s="365" t="s">
        <v>783</v>
      </c>
      <c r="F76" s="366">
        <v>2013</v>
      </c>
      <c r="G76" s="366">
        <v>0</v>
      </c>
      <c r="H76" s="367">
        <v>0.2082918992895345</v>
      </c>
      <c r="I76" s="1127">
        <v>0.2082918992895345</v>
      </c>
      <c r="J76" s="367">
        <v>0</v>
      </c>
      <c r="K76" s="368">
        <v>0</v>
      </c>
      <c r="L76" s="368">
        <v>0</v>
      </c>
      <c r="M76" s="368">
        <v>0</v>
      </c>
      <c r="N76" s="369">
        <v>0</v>
      </c>
      <c r="O76" s="368">
        <v>0</v>
      </c>
      <c r="P76" s="370">
        <v>0</v>
      </c>
      <c r="Q76" s="370">
        <v>0</v>
      </c>
      <c r="R76" s="370">
        <v>0</v>
      </c>
      <c r="S76" s="369">
        <v>0.2082918992895345</v>
      </c>
      <c r="T76" s="1462" t="s">
        <v>30</v>
      </c>
      <c r="U76" s="1463" t="e">
        <v>#REF!</v>
      </c>
      <c r="V76" s="1463" t="e">
        <v>#REF!</v>
      </c>
      <c r="W76" s="1463" t="e">
        <v>#REF!</v>
      </c>
      <c r="X76" s="1463" t="e">
        <v>#REF!</v>
      </c>
      <c r="Y76" s="1463" t="e">
        <v>#REF!</v>
      </c>
      <c r="Z76" s="1464" t="e">
        <v>#REF!</v>
      </c>
    </row>
    <row r="77" spans="2:26" ht="12.75">
      <c r="B77" s="1126">
        <v>51</v>
      </c>
      <c r="C77" s="365" t="s">
        <v>2</v>
      </c>
      <c r="D77" s="365" t="s">
        <v>878</v>
      </c>
      <c r="E77" s="365" t="s">
        <v>3</v>
      </c>
      <c r="F77" s="366">
        <v>2015</v>
      </c>
      <c r="G77" s="366">
        <v>99.8</v>
      </c>
      <c r="H77" s="367">
        <v>4.354385018600919</v>
      </c>
      <c r="I77" s="1127">
        <v>4.354385018600919</v>
      </c>
      <c r="J77" s="367">
        <v>0</v>
      </c>
      <c r="K77" s="368">
        <v>0</v>
      </c>
      <c r="L77" s="368">
        <v>0</v>
      </c>
      <c r="M77" s="368">
        <v>0</v>
      </c>
      <c r="N77" s="369">
        <v>0</v>
      </c>
      <c r="O77" s="368">
        <v>0</v>
      </c>
      <c r="P77" s="370">
        <v>0</v>
      </c>
      <c r="Q77" s="370">
        <v>0</v>
      </c>
      <c r="R77" s="370">
        <v>2.1673200760608062</v>
      </c>
      <c r="S77" s="369">
        <v>2.187064942540112</v>
      </c>
      <c r="T77" s="1462" t="s">
        <v>888</v>
      </c>
      <c r="U77" s="1463" t="e">
        <v>#REF!</v>
      </c>
      <c r="V77" s="1463" t="e">
        <v>#REF!</v>
      </c>
      <c r="W77" s="1463" t="e">
        <v>#REF!</v>
      </c>
      <c r="X77" s="1463" t="e">
        <v>#REF!</v>
      </c>
      <c r="Y77" s="1463" t="e">
        <v>#REF!</v>
      </c>
      <c r="Z77" s="1464" t="e">
        <v>#REF!</v>
      </c>
    </row>
    <row r="78" spans="2:26" ht="12.75">
      <c r="B78" s="1126">
        <v>52</v>
      </c>
      <c r="C78" s="365" t="s">
        <v>82</v>
      </c>
      <c r="D78" s="365" t="s">
        <v>779</v>
      </c>
      <c r="E78" s="365" t="s">
        <v>783</v>
      </c>
      <c r="F78" s="366">
        <v>2010</v>
      </c>
      <c r="G78" s="366">
        <v>24</v>
      </c>
      <c r="H78" s="367">
        <v>0.5207297482238363</v>
      </c>
      <c r="I78" s="1127">
        <v>0.5207297482238363</v>
      </c>
      <c r="J78" s="367">
        <v>0</v>
      </c>
      <c r="K78" s="368">
        <v>0</v>
      </c>
      <c r="L78" s="368">
        <v>0</v>
      </c>
      <c r="M78" s="368">
        <v>0</v>
      </c>
      <c r="N78" s="369">
        <v>0</v>
      </c>
      <c r="O78" s="368">
        <v>0</v>
      </c>
      <c r="P78" s="370">
        <v>0</v>
      </c>
      <c r="Q78" s="370">
        <v>0</v>
      </c>
      <c r="R78" s="370">
        <v>0</v>
      </c>
      <c r="S78" s="369">
        <v>0.5207297482238363</v>
      </c>
      <c r="T78" s="1462" t="s">
        <v>953</v>
      </c>
      <c r="U78" s="1463" t="e">
        <v>#REF!</v>
      </c>
      <c r="V78" s="1463" t="e">
        <v>#REF!</v>
      </c>
      <c r="W78" s="1463" t="e">
        <v>#REF!</v>
      </c>
      <c r="X78" s="1463" t="e">
        <v>#REF!</v>
      </c>
      <c r="Y78" s="1463" t="e">
        <v>#REF!</v>
      </c>
      <c r="Z78" s="1464" t="e">
        <v>#REF!</v>
      </c>
    </row>
    <row r="79" spans="2:26" ht="12.75">
      <c r="B79" s="1126">
        <v>53</v>
      </c>
      <c r="C79" s="365" t="s">
        <v>954</v>
      </c>
      <c r="D79" s="365" t="s">
        <v>779</v>
      </c>
      <c r="E79" s="365" t="s">
        <v>783</v>
      </c>
      <c r="F79" s="366">
        <v>2010</v>
      </c>
      <c r="G79" s="366">
        <v>16</v>
      </c>
      <c r="H79" s="367">
        <v>1.046974247983964</v>
      </c>
      <c r="I79" s="1127">
        <v>1.046974247983964</v>
      </c>
      <c r="J79" s="367">
        <v>0</v>
      </c>
      <c r="K79" s="368">
        <v>0</v>
      </c>
      <c r="L79" s="368">
        <v>0</v>
      </c>
      <c r="M79" s="368">
        <v>0</v>
      </c>
      <c r="N79" s="369">
        <v>0</v>
      </c>
      <c r="O79" s="368">
        <v>0.5297334860239471</v>
      </c>
      <c r="P79" s="370">
        <v>0.517240761960017</v>
      </c>
      <c r="Q79" s="370">
        <v>0</v>
      </c>
      <c r="R79" s="370">
        <v>0</v>
      </c>
      <c r="S79" s="369">
        <v>0</v>
      </c>
      <c r="T79" s="1462" t="s">
        <v>0</v>
      </c>
      <c r="U79" s="1463" t="e">
        <v>#REF!</v>
      </c>
      <c r="V79" s="1463" t="e">
        <v>#REF!</v>
      </c>
      <c r="W79" s="1463" t="e">
        <v>#REF!</v>
      </c>
      <c r="X79" s="1463" t="e">
        <v>#REF!</v>
      </c>
      <c r="Y79" s="1463" t="e">
        <v>#REF!</v>
      </c>
      <c r="Z79" s="1464" t="e">
        <v>#REF!</v>
      </c>
    </row>
    <row r="80" spans="2:26" ht="12.75">
      <c r="B80" s="1126">
        <v>54</v>
      </c>
      <c r="C80" s="365" t="s">
        <v>1</v>
      </c>
      <c r="D80" s="365" t="s">
        <v>878</v>
      </c>
      <c r="E80" s="365" t="s">
        <v>780</v>
      </c>
      <c r="F80" s="366">
        <v>2011</v>
      </c>
      <c r="G80" s="366">
        <v>117</v>
      </c>
      <c r="H80" s="367">
        <v>30.65760068809203</v>
      </c>
      <c r="I80" s="1127">
        <v>30.09010068809203</v>
      </c>
      <c r="J80" s="367">
        <v>0</v>
      </c>
      <c r="K80" s="368">
        <v>0</v>
      </c>
      <c r="L80" s="368">
        <v>0</v>
      </c>
      <c r="M80" s="368">
        <v>0</v>
      </c>
      <c r="N80" s="369">
        <v>0.5675</v>
      </c>
      <c r="O80" s="368">
        <v>1.0594669720478942</v>
      </c>
      <c r="P80" s="370">
        <v>10.03447078202433</v>
      </c>
      <c r="Q80" s="370">
        <v>11.9781741162991</v>
      </c>
      <c r="R80" s="370">
        <v>7.017988817720706</v>
      </c>
      <c r="S80" s="369">
        <v>0</v>
      </c>
      <c r="T80" s="1462" t="s">
        <v>889</v>
      </c>
      <c r="U80" s="1463" t="e">
        <v>#REF!</v>
      </c>
      <c r="V80" s="1463" t="e">
        <v>#REF!</v>
      </c>
      <c r="W80" s="1463" t="e">
        <v>#REF!</v>
      </c>
      <c r="X80" s="1463" t="e">
        <v>#REF!</v>
      </c>
      <c r="Y80" s="1463" t="e">
        <v>#REF!</v>
      </c>
      <c r="Z80" s="1464" t="e">
        <v>#REF!</v>
      </c>
    </row>
    <row r="81" spans="2:26" ht="12.75">
      <c r="B81" s="1126">
        <v>55</v>
      </c>
      <c r="C81" s="365" t="s">
        <v>890</v>
      </c>
      <c r="D81" s="365" t="s">
        <v>779</v>
      </c>
      <c r="E81" s="365" t="s">
        <v>780</v>
      </c>
      <c r="F81" s="366">
        <v>2013</v>
      </c>
      <c r="G81" s="366">
        <v>15</v>
      </c>
      <c r="H81" s="367">
        <v>0.7224400253536021</v>
      </c>
      <c r="I81" s="1127">
        <v>0.7224400253536021</v>
      </c>
      <c r="J81" s="367">
        <v>0</v>
      </c>
      <c r="K81" s="368">
        <v>0</v>
      </c>
      <c r="L81" s="368">
        <v>0</v>
      </c>
      <c r="M81" s="368">
        <v>0</v>
      </c>
      <c r="N81" s="369">
        <v>0</v>
      </c>
      <c r="O81" s="368">
        <v>0</v>
      </c>
      <c r="P81" s="370">
        <v>0</v>
      </c>
      <c r="Q81" s="370">
        <v>0</v>
      </c>
      <c r="R81" s="370">
        <v>0.7224400253536021</v>
      </c>
      <c r="S81" s="369">
        <v>0</v>
      </c>
      <c r="T81" s="1462" t="s">
        <v>891</v>
      </c>
      <c r="U81" s="1463" t="e">
        <v>#REF!</v>
      </c>
      <c r="V81" s="1463" t="e">
        <v>#REF!</v>
      </c>
      <c r="W81" s="1463" t="e">
        <v>#REF!</v>
      </c>
      <c r="X81" s="1463" t="e">
        <v>#REF!</v>
      </c>
      <c r="Y81" s="1463" t="e">
        <v>#REF!</v>
      </c>
      <c r="Z81" s="1464" t="e">
        <v>#REF!</v>
      </c>
    </row>
    <row r="82" spans="2:26" ht="12.75">
      <c r="B82" s="1126">
        <v>56</v>
      </c>
      <c r="C82" s="365" t="s">
        <v>12</v>
      </c>
      <c r="D82" s="365" t="s">
        <v>779</v>
      </c>
      <c r="E82" s="365" t="s">
        <v>780</v>
      </c>
      <c r="F82" s="366">
        <v>2008</v>
      </c>
      <c r="G82" s="366">
        <v>24</v>
      </c>
      <c r="H82" s="367">
        <v>0.6356801832287365</v>
      </c>
      <c r="I82" s="1127">
        <v>0.6356801832287365</v>
      </c>
      <c r="J82" s="367">
        <v>0</v>
      </c>
      <c r="K82" s="368">
        <v>0</v>
      </c>
      <c r="L82" s="368">
        <v>0</v>
      </c>
      <c r="M82" s="368">
        <v>0</v>
      </c>
      <c r="N82" s="369">
        <v>0</v>
      </c>
      <c r="O82" s="368">
        <v>0.6356801832287365</v>
      </c>
      <c r="P82" s="370">
        <v>0</v>
      </c>
      <c r="Q82" s="370">
        <v>0</v>
      </c>
      <c r="R82" s="370">
        <v>0</v>
      </c>
      <c r="S82" s="369">
        <v>0</v>
      </c>
      <c r="T82" s="1462" t="s">
        <v>13</v>
      </c>
      <c r="U82" s="1463" t="e">
        <v>#REF!</v>
      </c>
      <c r="V82" s="1463" t="e">
        <v>#REF!</v>
      </c>
      <c r="W82" s="1463" t="e">
        <v>#REF!</v>
      </c>
      <c r="X82" s="1463" t="e">
        <v>#REF!</v>
      </c>
      <c r="Y82" s="1463" t="e">
        <v>#REF!</v>
      </c>
      <c r="Z82" s="1464" t="e">
        <v>#REF!</v>
      </c>
    </row>
    <row r="83" spans="2:26" ht="12.75">
      <c r="B83" s="1126">
        <v>57</v>
      </c>
      <c r="C83" s="365" t="s">
        <v>14</v>
      </c>
      <c r="D83" s="365" t="s">
        <v>779</v>
      </c>
      <c r="E83" s="365" t="s">
        <v>15</v>
      </c>
      <c r="F83" s="366">
        <v>2012</v>
      </c>
      <c r="G83" s="366">
        <v>0</v>
      </c>
      <c r="H83" s="367">
        <v>1.239012652737651</v>
      </c>
      <c r="I83" s="1127">
        <v>1.239012652737651</v>
      </c>
      <c r="J83" s="367">
        <v>0</v>
      </c>
      <c r="K83" s="368">
        <v>0</v>
      </c>
      <c r="L83" s="368">
        <v>0</v>
      </c>
      <c r="M83" s="368">
        <v>0</v>
      </c>
      <c r="N83" s="369">
        <v>0</v>
      </c>
      <c r="O83" s="368">
        <v>0</v>
      </c>
      <c r="P83" s="370">
        <v>0</v>
      </c>
      <c r="Q83" s="370">
        <v>1.0326012169223362</v>
      </c>
      <c r="R83" s="370">
        <v>0.2064114358153149</v>
      </c>
      <c r="S83" s="369">
        <v>0</v>
      </c>
      <c r="T83" s="1462" t="s">
        <v>16</v>
      </c>
      <c r="U83" s="1463" t="e">
        <v>#REF!</v>
      </c>
      <c r="V83" s="1463" t="e">
        <v>#REF!</v>
      </c>
      <c r="W83" s="1463" t="e">
        <v>#REF!</v>
      </c>
      <c r="X83" s="1463" t="e">
        <v>#REF!</v>
      </c>
      <c r="Y83" s="1463" t="e">
        <v>#REF!</v>
      </c>
      <c r="Z83" s="1464" t="e">
        <v>#REF!</v>
      </c>
    </row>
    <row r="84" spans="2:26" ht="12.75">
      <c r="B84" s="1126">
        <v>58</v>
      </c>
      <c r="C84" s="365" t="s">
        <v>38</v>
      </c>
      <c r="D84" s="365" t="s">
        <v>779</v>
      </c>
      <c r="E84" s="365" t="s">
        <v>783</v>
      </c>
      <c r="F84" s="366">
        <v>2010</v>
      </c>
      <c r="G84" s="366">
        <v>24</v>
      </c>
      <c r="H84" s="367">
        <v>1.4473339799891987</v>
      </c>
      <c r="I84" s="1127">
        <v>1.4473339799891987</v>
      </c>
      <c r="J84" s="367">
        <v>0</v>
      </c>
      <c r="K84" s="368">
        <v>0</v>
      </c>
      <c r="L84" s="368">
        <v>0</v>
      </c>
      <c r="M84" s="368">
        <v>0</v>
      </c>
      <c r="N84" s="369">
        <v>0</v>
      </c>
      <c r="O84" s="368">
        <v>0</v>
      </c>
      <c r="P84" s="370">
        <v>0.9310333715280307</v>
      </c>
      <c r="Q84" s="370">
        <v>0.5163006084611681</v>
      </c>
      <c r="R84" s="370">
        <v>0</v>
      </c>
      <c r="S84" s="369">
        <v>0</v>
      </c>
      <c r="T84" s="1462" t="s">
        <v>923</v>
      </c>
      <c r="U84" s="1463" t="e">
        <v>#REF!</v>
      </c>
      <c r="V84" s="1463" t="e">
        <v>#REF!</v>
      </c>
      <c r="W84" s="1463" t="e">
        <v>#REF!</v>
      </c>
      <c r="X84" s="1463" t="e">
        <v>#REF!</v>
      </c>
      <c r="Y84" s="1463" t="e">
        <v>#REF!</v>
      </c>
      <c r="Z84" s="1464" t="e">
        <v>#REF!</v>
      </c>
    </row>
    <row r="85" spans="2:26" ht="12.75">
      <c r="B85" s="1126">
        <v>59</v>
      </c>
      <c r="C85" s="365" t="s">
        <v>67</v>
      </c>
      <c r="D85" s="365" t="s">
        <v>878</v>
      </c>
      <c r="E85" s="365" t="s">
        <v>788</v>
      </c>
      <c r="F85" s="366">
        <v>2010</v>
      </c>
      <c r="G85" s="366">
        <v>40</v>
      </c>
      <c r="H85" s="367">
        <v>0.20689630478400683</v>
      </c>
      <c r="I85" s="1127">
        <v>0.20689630478400683</v>
      </c>
      <c r="J85" s="367">
        <v>0</v>
      </c>
      <c r="K85" s="368">
        <v>0</v>
      </c>
      <c r="L85" s="368">
        <v>0</v>
      </c>
      <c r="M85" s="368">
        <v>0</v>
      </c>
      <c r="N85" s="369">
        <v>0</v>
      </c>
      <c r="O85" s="368">
        <v>0</v>
      </c>
      <c r="P85" s="370">
        <v>0.20689630478400683</v>
      </c>
      <c r="Q85" s="370">
        <v>0</v>
      </c>
      <c r="R85" s="370">
        <v>0</v>
      </c>
      <c r="S85" s="369">
        <v>0</v>
      </c>
      <c r="T85" s="1462" t="s">
        <v>68</v>
      </c>
      <c r="U85" s="1463" t="e">
        <v>#REF!</v>
      </c>
      <c r="V85" s="1463" t="e">
        <v>#REF!</v>
      </c>
      <c r="W85" s="1463" t="e">
        <v>#REF!</v>
      </c>
      <c r="X85" s="1463" t="e">
        <v>#REF!</v>
      </c>
      <c r="Y85" s="1463" t="e">
        <v>#REF!</v>
      </c>
      <c r="Z85" s="1464" t="e">
        <v>#REF!</v>
      </c>
    </row>
    <row r="86" spans="2:26" ht="12.75">
      <c r="B86" s="1126">
        <v>60</v>
      </c>
      <c r="C86" s="365" t="s">
        <v>69</v>
      </c>
      <c r="D86" s="365" t="s">
        <v>779</v>
      </c>
      <c r="E86" s="365" t="s">
        <v>70</v>
      </c>
      <c r="F86" s="366">
        <v>2009</v>
      </c>
      <c r="G86" s="366">
        <v>10</v>
      </c>
      <c r="H86" s="367">
        <v>0.5297334860239471</v>
      </c>
      <c r="I86" s="1127">
        <v>0.5297334860239471</v>
      </c>
      <c r="J86" s="367">
        <v>0</v>
      </c>
      <c r="K86" s="368">
        <v>0</v>
      </c>
      <c r="L86" s="368">
        <v>0</v>
      </c>
      <c r="M86" s="368">
        <v>0</v>
      </c>
      <c r="N86" s="369">
        <v>0</v>
      </c>
      <c r="O86" s="368">
        <v>0.5297334860239471</v>
      </c>
      <c r="P86" s="370">
        <v>0</v>
      </c>
      <c r="Q86" s="370">
        <v>0</v>
      </c>
      <c r="R86" s="370">
        <v>0</v>
      </c>
      <c r="S86" s="369">
        <v>0</v>
      </c>
      <c r="T86" s="1462" t="s">
        <v>34</v>
      </c>
      <c r="U86" s="1463" t="e">
        <v>#REF!</v>
      </c>
      <c r="V86" s="1463" t="e">
        <v>#REF!</v>
      </c>
      <c r="W86" s="1463" t="e">
        <v>#REF!</v>
      </c>
      <c r="X86" s="1463" t="e">
        <v>#REF!</v>
      </c>
      <c r="Y86" s="1463" t="e">
        <v>#REF!</v>
      </c>
      <c r="Z86" s="1464" t="e">
        <v>#REF!</v>
      </c>
    </row>
    <row r="87" spans="2:26" ht="12.75">
      <c r="B87" s="1126">
        <v>61</v>
      </c>
      <c r="C87" s="365" t="s">
        <v>35</v>
      </c>
      <c r="D87" s="365" t="s">
        <v>779</v>
      </c>
      <c r="E87" s="365" t="s">
        <v>780</v>
      </c>
      <c r="F87" s="366">
        <v>2014</v>
      </c>
      <c r="G87" s="366">
        <v>4</v>
      </c>
      <c r="H87" s="367">
        <v>0.2082918992895345</v>
      </c>
      <c r="I87" s="1127">
        <v>0.2082918992895345</v>
      </c>
      <c r="J87" s="367">
        <v>0</v>
      </c>
      <c r="K87" s="368">
        <v>0</v>
      </c>
      <c r="L87" s="368">
        <v>0</v>
      </c>
      <c r="M87" s="368">
        <v>0</v>
      </c>
      <c r="N87" s="369">
        <v>0</v>
      </c>
      <c r="O87" s="368">
        <v>0</v>
      </c>
      <c r="P87" s="370">
        <v>0</v>
      </c>
      <c r="Q87" s="370">
        <v>0</v>
      </c>
      <c r="R87" s="370">
        <v>0</v>
      </c>
      <c r="S87" s="369">
        <v>0.2082918992895345</v>
      </c>
      <c r="T87" s="1462" t="s">
        <v>36</v>
      </c>
      <c r="U87" s="1463" t="e">
        <v>#REF!</v>
      </c>
      <c r="V87" s="1463" t="e">
        <v>#REF!</v>
      </c>
      <c r="W87" s="1463" t="e">
        <v>#REF!</v>
      </c>
      <c r="X87" s="1463" t="e">
        <v>#REF!</v>
      </c>
      <c r="Y87" s="1463" t="e">
        <v>#REF!</v>
      </c>
      <c r="Z87" s="1464" t="e">
        <v>#REF!</v>
      </c>
    </row>
    <row r="88" spans="2:26" ht="12.75">
      <c r="B88" s="1126">
        <v>62</v>
      </c>
      <c r="C88" s="365" t="s">
        <v>37</v>
      </c>
      <c r="D88" s="365" t="s">
        <v>779</v>
      </c>
      <c r="E88" s="365" t="s">
        <v>783</v>
      </c>
      <c r="F88" s="366">
        <v>2007</v>
      </c>
      <c r="G88" s="366">
        <v>40</v>
      </c>
      <c r="H88" s="367">
        <v>4.207454218938893</v>
      </c>
      <c r="I88" s="1127">
        <v>3.0724542189388933</v>
      </c>
      <c r="J88" s="367">
        <v>0</v>
      </c>
      <c r="K88" s="368">
        <v>0</v>
      </c>
      <c r="L88" s="368">
        <v>0</v>
      </c>
      <c r="M88" s="368">
        <v>0</v>
      </c>
      <c r="N88" s="369">
        <v>1.135</v>
      </c>
      <c r="O88" s="368">
        <v>3.0724542189388933</v>
      </c>
      <c r="P88" s="370">
        <v>0</v>
      </c>
      <c r="Q88" s="370">
        <v>0</v>
      </c>
      <c r="R88" s="370">
        <v>0</v>
      </c>
      <c r="S88" s="369">
        <v>0</v>
      </c>
      <c r="T88" s="1462" t="s">
        <v>924</v>
      </c>
      <c r="U88" s="1463" t="e">
        <v>#REF!</v>
      </c>
      <c r="V88" s="1463" t="e">
        <v>#REF!</v>
      </c>
      <c r="W88" s="1463" t="e">
        <v>#REF!</v>
      </c>
      <c r="X88" s="1463" t="e">
        <v>#REF!</v>
      </c>
      <c r="Y88" s="1463" t="e">
        <v>#REF!</v>
      </c>
      <c r="Z88" s="1464" t="e">
        <v>#REF!</v>
      </c>
    </row>
    <row r="89" spans="2:26" ht="12.75">
      <c r="B89" s="1126">
        <v>63</v>
      </c>
      <c r="C89" s="365" t="s">
        <v>925</v>
      </c>
      <c r="D89" s="365" t="s">
        <v>779</v>
      </c>
      <c r="E89" s="365" t="s">
        <v>780</v>
      </c>
      <c r="F89" s="366">
        <v>2014</v>
      </c>
      <c r="G89" s="366">
        <v>24</v>
      </c>
      <c r="H89" s="367">
        <v>1.9787730432505775</v>
      </c>
      <c r="I89" s="1127">
        <v>1.9787730432505775</v>
      </c>
      <c r="J89" s="367">
        <v>0</v>
      </c>
      <c r="K89" s="368">
        <v>0</v>
      </c>
      <c r="L89" s="368">
        <v>0</v>
      </c>
      <c r="M89" s="368">
        <v>0</v>
      </c>
      <c r="N89" s="369">
        <v>0</v>
      </c>
      <c r="O89" s="368">
        <v>0</v>
      </c>
      <c r="P89" s="370">
        <v>0</v>
      </c>
      <c r="Q89" s="370">
        <v>0</v>
      </c>
      <c r="R89" s="370">
        <v>0</v>
      </c>
      <c r="S89" s="369">
        <v>1.9787730432505775</v>
      </c>
      <c r="T89" s="1462" t="s">
        <v>926</v>
      </c>
      <c r="U89" s="1463" t="e">
        <v>#REF!</v>
      </c>
      <c r="V89" s="1463" t="e">
        <v>#REF!</v>
      </c>
      <c r="W89" s="1463" t="e">
        <v>#REF!</v>
      </c>
      <c r="X89" s="1463" t="e">
        <v>#REF!</v>
      </c>
      <c r="Y89" s="1463" t="e">
        <v>#REF!</v>
      </c>
      <c r="Z89" s="1464" t="e">
        <v>#REF!</v>
      </c>
    </row>
    <row r="90" spans="2:26" ht="12.75">
      <c r="B90" s="1126">
        <v>64</v>
      </c>
      <c r="C90" s="365" t="s">
        <v>927</v>
      </c>
      <c r="D90" s="365" t="s">
        <v>878</v>
      </c>
      <c r="E90" s="365" t="s">
        <v>780</v>
      </c>
      <c r="F90" s="366">
        <v>2012</v>
      </c>
      <c r="G90" s="366">
        <v>75</v>
      </c>
      <c r="H90" s="367">
        <v>6.013198359020315</v>
      </c>
      <c r="I90" s="1127">
        <v>6.013198359020315</v>
      </c>
      <c r="J90" s="367">
        <v>0</v>
      </c>
      <c r="K90" s="368">
        <v>0</v>
      </c>
      <c r="L90" s="368">
        <v>0</v>
      </c>
      <c r="M90" s="368">
        <v>0</v>
      </c>
      <c r="N90" s="369">
        <v>0</v>
      </c>
      <c r="O90" s="368">
        <v>0</v>
      </c>
      <c r="P90" s="370">
        <v>0</v>
      </c>
      <c r="Q90" s="370">
        <v>0</v>
      </c>
      <c r="R90" s="370">
        <v>2.9929658193220656</v>
      </c>
      <c r="S90" s="369">
        <v>3.0202325396982497</v>
      </c>
      <c r="T90" s="1462" t="s">
        <v>928</v>
      </c>
      <c r="U90" s="1463" t="e">
        <v>#REF!</v>
      </c>
      <c r="V90" s="1463" t="e">
        <v>#REF!</v>
      </c>
      <c r="W90" s="1463" t="e">
        <v>#REF!</v>
      </c>
      <c r="X90" s="1463" t="e">
        <v>#REF!</v>
      </c>
      <c r="Y90" s="1463" t="e">
        <v>#REF!</v>
      </c>
      <c r="Z90" s="1464" t="e">
        <v>#REF!</v>
      </c>
    </row>
    <row r="91" spans="2:26" ht="12.75">
      <c r="B91" s="1126">
        <v>65</v>
      </c>
      <c r="C91" s="365" t="s">
        <v>49</v>
      </c>
      <c r="D91" s="365" t="s">
        <v>878</v>
      </c>
      <c r="E91" s="365" t="s">
        <v>788</v>
      </c>
      <c r="F91" s="366">
        <v>2013</v>
      </c>
      <c r="G91" s="366">
        <v>240</v>
      </c>
      <c r="H91" s="367">
        <v>1.0320571790765745</v>
      </c>
      <c r="I91" s="1127">
        <v>1.0320571790765745</v>
      </c>
      <c r="J91" s="367">
        <v>0</v>
      </c>
      <c r="K91" s="368">
        <v>0</v>
      </c>
      <c r="L91" s="368">
        <v>0</v>
      </c>
      <c r="M91" s="368">
        <v>0</v>
      </c>
      <c r="N91" s="369">
        <v>0</v>
      </c>
      <c r="O91" s="368">
        <v>0</v>
      </c>
      <c r="P91" s="370">
        <v>0</v>
      </c>
      <c r="Q91" s="370">
        <v>0</v>
      </c>
      <c r="R91" s="370">
        <v>1.0320571790765745</v>
      </c>
      <c r="S91" s="369">
        <v>0</v>
      </c>
      <c r="T91" s="1462" t="s">
        <v>50</v>
      </c>
      <c r="U91" s="1463" t="e">
        <v>#REF!</v>
      </c>
      <c r="V91" s="1463" t="e">
        <v>#REF!</v>
      </c>
      <c r="W91" s="1463" t="e">
        <v>#REF!</v>
      </c>
      <c r="X91" s="1463" t="e">
        <v>#REF!</v>
      </c>
      <c r="Y91" s="1463" t="e">
        <v>#REF!</v>
      </c>
      <c r="Z91" s="1464" t="e">
        <v>#REF!</v>
      </c>
    </row>
    <row r="92" spans="2:26" ht="12.75">
      <c r="B92" s="1126">
        <v>66</v>
      </c>
      <c r="C92" s="365" t="s">
        <v>51</v>
      </c>
      <c r="D92" s="365" t="s">
        <v>779</v>
      </c>
      <c r="E92" s="365" t="s">
        <v>783</v>
      </c>
      <c r="F92" s="366">
        <v>2013</v>
      </c>
      <c r="G92" s="366">
        <v>24</v>
      </c>
      <c r="H92" s="367">
        <v>3.612744164613772</v>
      </c>
      <c r="I92" s="1127">
        <v>3.612744164613772</v>
      </c>
      <c r="J92" s="367">
        <v>0</v>
      </c>
      <c r="K92" s="368">
        <v>0</v>
      </c>
      <c r="L92" s="368">
        <v>0</v>
      </c>
      <c r="M92" s="368">
        <v>0</v>
      </c>
      <c r="N92" s="369">
        <v>0</v>
      </c>
      <c r="O92" s="368">
        <v>0</v>
      </c>
      <c r="P92" s="370">
        <v>0</v>
      </c>
      <c r="Q92" s="370">
        <v>1.0326012169223362</v>
      </c>
      <c r="R92" s="370">
        <v>2.580142947691436</v>
      </c>
      <c r="S92" s="369">
        <v>0</v>
      </c>
      <c r="T92" s="1462" t="s">
        <v>66</v>
      </c>
      <c r="U92" s="1463" t="e">
        <v>#REF!</v>
      </c>
      <c r="V92" s="1463" t="e">
        <v>#REF!</v>
      </c>
      <c r="W92" s="1463" t="e">
        <v>#REF!</v>
      </c>
      <c r="X92" s="1463" t="e">
        <v>#REF!</v>
      </c>
      <c r="Y92" s="1463" t="e">
        <v>#REF!</v>
      </c>
      <c r="Z92" s="1464" t="e">
        <v>#REF!</v>
      </c>
    </row>
    <row r="93" spans="2:26" ht="12.75">
      <c r="B93" s="1126">
        <v>67</v>
      </c>
      <c r="C93" s="365" t="s">
        <v>941</v>
      </c>
      <c r="D93" s="365" t="s">
        <v>779</v>
      </c>
      <c r="E93" s="365" t="s">
        <v>783</v>
      </c>
      <c r="F93" s="366">
        <v>2008</v>
      </c>
      <c r="G93" s="366">
        <v>32</v>
      </c>
      <c r="H93" s="367">
        <v>1.5767077340079112</v>
      </c>
      <c r="I93" s="1127">
        <v>1.5767077340079112</v>
      </c>
      <c r="J93" s="367">
        <v>0</v>
      </c>
      <c r="K93" s="368">
        <v>0</v>
      </c>
      <c r="L93" s="368">
        <v>0</v>
      </c>
      <c r="M93" s="368">
        <v>0</v>
      </c>
      <c r="N93" s="369">
        <v>0</v>
      </c>
      <c r="O93" s="368">
        <v>1.0594669720478942</v>
      </c>
      <c r="P93" s="370">
        <v>0.517240761960017</v>
      </c>
      <c r="Q93" s="370">
        <v>0</v>
      </c>
      <c r="R93" s="370">
        <v>0</v>
      </c>
      <c r="S93" s="369">
        <v>0</v>
      </c>
      <c r="T93" s="1462" t="s">
        <v>942</v>
      </c>
      <c r="U93" s="1463" t="e">
        <v>#REF!</v>
      </c>
      <c r="V93" s="1463" t="e">
        <v>#REF!</v>
      </c>
      <c r="W93" s="1463" t="e">
        <v>#REF!</v>
      </c>
      <c r="X93" s="1463" t="e">
        <v>#REF!</v>
      </c>
      <c r="Y93" s="1463" t="e">
        <v>#REF!</v>
      </c>
      <c r="Z93" s="1464" t="e">
        <v>#REF!</v>
      </c>
    </row>
    <row r="94" spans="2:26" ht="12.75">
      <c r="B94" s="1126">
        <v>68</v>
      </c>
      <c r="C94" s="365" t="s">
        <v>943</v>
      </c>
      <c r="D94" s="365" t="s">
        <v>878</v>
      </c>
      <c r="E94" s="365" t="s">
        <v>788</v>
      </c>
      <c r="F94" s="366">
        <v>2010</v>
      </c>
      <c r="G94" s="366">
        <v>181</v>
      </c>
      <c r="H94" s="367">
        <v>3.5103000996901814</v>
      </c>
      <c r="I94" s="1127">
        <v>3.5103000996901814</v>
      </c>
      <c r="J94" s="367">
        <v>0</v>
      </c>
      <c r="K94" s="368">
        <v>0</v>
      </c>
      <c r="L94" s="368">
        <v>0</v>
      </c>
      <c r="M94" s="368">
        <v>0</v>
      </c>
      <c r="N94" s="369">
        <v>0</v>
      </c>
      <c r="O94" s="368">
        <v>0</v>
      </c>
      <c r="P94" s="370">
        <v>0</v>
      </c>
      <c r="Q94" s="370">
        <v>2.478242920613607</v>
      </c>
      <c r="R94" s="370">
        <v>1.0320571790765745</v>
      </c>
      <c r="S94" s="369">
        <v>0</v>
      </c>
      <c r="T94" s="1462" t="s">
        <v>944</v>
      </c>
      <c r="U94" s="1463" t="e">
        <v>#REF!</v>
      </c>
      <c r="V94" s="1463" t="e">
        <v>#REF!</v>
      </c>
      <c r="W94" s="1463" t="e">
        <v>#REF!</v>
      </c>
      <c r="X94" s="1463" t="e">
        <v>#REF!</v>
      </c>
      <c r="Y94" s="1463" t="e">
        <v>#REF!</v>
      </c>
      <c r="Z94" s="1464" t="e">
        <v>#REF!</v>
      </c>
    </row>
    <row r="95" spans="2:26" ht="12.75">
      <c r="B95" s="1126">
        <v>69</v>
      </c>
      <c r="C95" s="365" t="s">
        <v>945</v>
      </c>
      <c r="D95" s="365" t="s">
        <v>779</v>
      </c>
      <c r="E95" s="365" t="s">
        <v>780</v>
      </c>
      <c r="F95" s="366">
        <v>2011</v>
      </c>
      <c r="G95" s="366">
        <v>27</v>
      </c>
      <c r="H95" s="367">
        <v>0.20652024338446728</v>
      </c>
      <c r="I95" s="1127">
        <v>0.20652024338446728</v>
      </c>
      <c r="J95" s="367">
        <v>0</v>
      </c>
      <c r="K95" s="368">
        <v>0</v>
      </c>
      <c r="L95" s="368">
        <v>0</v>
      </c>
      <c r="M95" s="368">
        <v>0</v>
      </c>
      <c r="N95" s="369">
        <v>0</v>
      </c>
      <c r="O95" s="368">
        <v>0</v>
      </c>
      <c r="P95" s="370">
        <v>0</v>
      </c>
      <c r="Q95" s="370">
        <v>0.20652024338446728</v>
      </c>
      <c r="R95" s="370">
        <v>0</v>
      </c>
      <c r="S95" s="369">
        <v>0</v>
      </c>
      <c r="T95" s="1462" t="s">
        <v>946</v>
      </c>
      <c r="U95" s="1463" t="e">
        <v>#REF!</v>
      </c>
      <c r="V95" s="1463" t="e">
        <v>#REF!</v>
      </c>
      <c r="W95" s="1463" t="e">
        <v>#REF!</v>
      </c>
      <c r="X95" s="1463" t="e">
        <v>#REF!</v>
      </c>
      <c r="Y95" s="1463" t="e">
        <v>#REF!</v>
      </c>
      <c r="Z95" s="1464" t="e">
        <v>#REF!</v>
      </c>
    </row>
    <row r="96" spans="2:26" ht="12.75">
      <c r="B96" s="1126">
        <v>70</v>
      </c>
      <c r="C96" s="365">
        <v>0</v>
      </c>
      <c r="D96" s="365">
        <v>0</v>
      </c>
      <c r="E96" s="365">
        <v>0</v>
      </c>
      <c r="F96" s="366">
        <v>0</v>
      </c>
      <c r="G96" s="366">
        <v>0</v>
      </c>
      <c r="H96" s="367">
        <v>0</v>
      </c>
      <c r="I96" s="1127">
        <v>0</v>
      </c>
      <c r="J96" s="367">
        <v>0</v>
      </c>
      <c r="K96" s="368">
        <v>0</v>
      </c>
      <c r="L96" s="368">
        <v>0</v>
      </c>
      <c r="M96" s="368">
        <v>0</v>
      </c>
      <c r="N96" s="369">
        <v>0</v>
      </c>
      <c r="O96" s="368">
        <v>0</v>
      </c>
      <c r="P96" s="370">
        <v>0</v>
      </c>
      <c r="Q96" s="370">
        <v>0</v>
      </c>
      <c r="R96" s="370">
        <v>0</v>
      </c>
      <c r="S96" s="369">
        <v>0</v>
      </c>
      <c r="T96" s="1462">
        <v>0</v>
      </c>
      <c r="U96" s="1463" t="e">
        <v>#REF!</v>
      </c>
      <c r="V96" s="1463" t="e">
        <v>#REF!</v>
      </c>
      <c r="W96" s="1463" t="e">
        <v>#REF!</v>
      </c>
      <c r="X96" s="1463" t="e">
        <v>#REF!</v>
      </c>
      <c r="Y96" s="1463" t="e">
        <v>#REF!</v>
      </c>
      <c r="Z96" s="1464" t="e">
        <v>#REF!</v>
      </c>
    </row>
    <row r="97" spans="2:26" ht="12.75">
      <c r="B97" s="1128"/>
      <c r="C97" s="1129"/>
      <c r="D97" s="365"/>
      <c r="E97" s="365"/>
      <c r="F97" s="366"/>
      <c r="G97" s="1129"/>
      <c r="H97" s="1130"/>
      <c r="I97" s="1131"/>
      <c r="J97" s="368"/>
      <c r="K97" s="368"/>
      <c r="L97" s="368"/>
      <c r="M97" s="368"/>
      <c r="N97" s="1132"/>
      <c r="O97" s="1133"/>
      <c r="P97" s="370"/>
      <c r="Q97" s="370"/>
      <c r="R97" s="370"/>
      <c r="S97" s="1132"/>
      <c r="T97" s="852"/>
      <c r="U97" s="853"/>
      <c r="V97" s="853"/>
      <c r="W97" s="853"/>
      <c r="X97" s="853"/>
      <c r="Y97" s="853"/>
      <c r="Z97" s="854"/>
    </row>
    <row r="98" spans="2:26" ht="13.5" thickBot="1">
      <c r="B98" s="1134"/>
      <c r="C98" s="1135" t="s">
        <v>881</v>
      </c>
      <c r="D98" s="1136"/>
      <c r="E98" s="1136"/>
      <c r="F98" s="1136"/>
      <c r="G98" s="1137">
        <v>3262.75</v>
      </c>
      <c r="H98" s="1138">
        <v>168.72469062745364</v>
      </c>
      <c r="I98" s="1139">
        <v>167.0221906274536</v>
      </c>
      <c r="J98" s="1140">
        <v>0</v>
      </c>
      <c r="K98" s="1140">
        <v>0</v>
      </c>
      <c r="L98" s="1140">
        <v>0</v>
      </c>
      <c r="M98" s="1140">
        <v>0</v>
      </c>
      <c r="N98" s="1141">
        <v>1.7025</v>
      </c>
      <c r="O98" s="1142">
        <v>24.26179365989677</v>
      </c>
      <c r="P98" s="1140">
        <v>29.999964193680984</v>
      </c>
      <c r="Q98" s="371">
        <v>37.27690393089634</v>
      </c>
      <c r="R98" s="371">
        <v>36.74123557512605</v>
      </c>
      <c r="S98" s="1143">
        <v>38.74229326785341</v>
      </c>
      <c r="T98" s="1144"/>
      <c r="U98" s="1145"/>
      <c r="V98" s="1145"/>
      <c r="W98" s="1145"/>
      <c r="X98" s="1145"/>
      <c r="Y98" s="1145"/>
      <c r="Z98" s="1146"/>
    </row>
  </sheetData>
  <sheetProtection/>
  <mergeCells count="72">
    <mergeCell ref="T86:Z86"/>
    <mergeCell ref="T87:Z87"/>
    <mergeCell ref="T95:Z95"/>
    <mergeCell ref="T96:Z96"/>
    <mergeCell ref="T89:Z89"/>
    <mergeCell ref="T90:Z90"/>
    <mergeCell ref="T91:Z91"/>
    <mergeCell ref="T92:Z92"/>
    <mergeCell ref="T93:Z93"/>
    <mergeCell ref="T94:Z94"/>
    <mergeCell ref="T88:Z88"/>
    <mergeCell ref="T77:Z77"/>
    <mergeCell ref="T78:Z78"/>
    <mergeCell ref="T79:Z79"/>
    <mergeCell ref="T80:Z80"/>
    <mergeCell ref="T81:Z81"/>
    <mergeCell ref="T82:Z82"/>
    <mergeCell ref="T83:Z83"/>
    <mergeCell ref="T84:Z84"/>
    <mergeCell ref="T85:Z85"/>
    <mergeCell ref="T70:Z70"/>
    <mergeCell ref="T71:Z71"/>
    <mergeCell ref="T72:Z72"/>
    <mergeCell ref="T73:Z73"/>
    <mergeCell ref="T74:Z74"/>
    <mergeCell ref="T75:Z75"/>
    <mergeCell ref="T60:Z60"/>
    <mergeCell ref="T61:Z61"/>
    <mergeCell ref="T62:Z62"/>
    <mergeCell ref="T63:Z63"/>
    <mergeCell ref="T76:Z76"/>
    <mergeCell ref="T65:Z65"/>
    <mergeCell ref="T66:Z66"/>
    <mergeCell ref="T67:Z67"/>
    <mergeCell ref="T68:Z68"/>
    <mergeCell ref="T69:Z69"/>
    <mergeCell ref="T50:Z50"/>
    <mergeCell ref="T51:Z51"/>
    <mergeCell ref="T64:Z64"/>
    <mergeCell ref="T53:Z53"/>
    <mergeCell ref="T54:Z54"/>
    <mergeCell ref="T55:Z55"/>
    <mergeCell ref="T56:Z56"/>
    <mergeCell ref="T57:Z57"/>
    <mergeCell ref="T58:Z58"/>
    <mergeCell ref="T59:Z59"/>
    <mergeCell ref="T42:Z42"/>
    <mergeCell ref="T43:Z43"/>
    <mergeCell ref="T44:Z44"/>
    <mergeCell ref="T47:Z47"/>
    <mergeCell ref="T48:Z48"/>
    <mergeCell ref="T49:Z49"/>
    <mergeCell ref="T34:Z34"/>
    <mergeCell ref="T35:Z35"/>
    <mergeCell ref="T52:Z52"/>
    <mergeCell ref="T37:Z37"/>
    <mergeCell ref="T38:Z38"/>
    <mergeCell ref="T39:Z39"/>
    <mergeCell ref="T40:Z40"/>
    <mergeCell ref="T45:Z45"/>
    <mergeCell ref="T46:Z46"/>
    <mergeCell ref="T41:Z41"/>
    <mergeCell ref="T36:Z36"/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862" t="s">
        <v>805</v>
      </c>
      <c r="F1" s="857" t="s">
        <v>55</v>
      </c>
    </row>
    <row r="2" ht="12.75">
      <c r="A2" s="862"/>
    </row>
    <row r="3" ht="12.75">
      <c r="A3" s="862" t="s">
        <v>203</v>
      </c>
    </row>
    <row r="6" spans="2:19" ht="12.75">
      <c r="B6" s="1050" t="s">
        <v>204</v>
      </c>
      <c r="C6" s="1051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  <c r="O6" s="1051"/>
      <c r="P6" s="1051"/>
      <c r="Q6" s="1051"/>
      <c r="R6" s="1051"/>
      <c r="S6" s="1051"/>
    </row>
    <row r="7" spans="2:19" ht="13.5" thickBot="1">
      <c r="B7" s="1051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1"/>
      <c r="S7" s="1051"/>
    </row>
    <row r="8" spans="2:19" ht="12.75">
      <c r="B8" s="1052"/>
      <c r="C8" s="1053"/>
      <c r="D8" s="1054" t="s">
        <v>205</v>
      </c>
      <c r="E8" s="1055"/>
      <c r="F8" s="1056"/>
      <c r="G8" s="1054" t="s">
        <v>299</v>
      </c>
      <c r="H8" s="1055"/>
      <c r="I8" s="1056"/>
      <c r="J8" s="1051"/>
      <c r="K8" s="1051"/>
      <c r="L8" s="1051"/>
      <c r="M8" s="1051"/>
      <c r="N8" s="1051"/>
      <c r="O8" s="1051"/>
      <c r="P8" s="1051"/>
      <c r="Q8" s="1051"/>
      <c r="R8" s="1051"/>
      <c r="S8" s="1051"/>
    </row>
    <row r="9" spans="2:19" ht="12.75">
      <c r="B9" s="1057"/>
      <c r="C9" s="1058"/>
      <c r="D9" s="1059" t="s">
        <v>878</v>
      </c>
      <c r="E9" s="1060" t="s">
        <v>880</v>
      </c>
      <c r="F9" s="1061" t="s">
        <v>874</v>
      </c>
      <c r="G9" s="1059" t="s">
        <v>878</v>
      </c>
      <c r="H9" s="1060" t="s">
        <v>880</v>
      </c>
      <c r="I9" s="1061" t="s">
        <v>874</v>
      </c>
      <c r="J9" s="1051"/>
      <c r="K9" s="1051"/>
      <c r="L9" s="1051"/>
      <c r="M9" s="1051"/>
      <c r="N9" s="1051"/>
      <c r="O9" s="1051"/>
      <c r="P9" s="1051"/>
      <c r="Q9" s="1051"/>
      <c r="R9" s="1051"/>
      <c r="S9" s="1051"/>
    </row>
    <row r="10" spans="2:19" ht="12.75">
      <c r="B10" s="1062" t="s">
        <v>482</v>
      </c>
      <c r="C10" s="1063"/>
      <c r="D10" s="380">
        <v>50</v>
      </c>
      <c r="E10" s="381">
        <v>175</v>
      </c>
      <c r="F10" s="382">
        <v>411</v>
      </c>
      <c r="G10" s="380">
        <v>51</v>
      </c>
      <c r="H10" s="381">
        <v>177</v>
      </c>
      <c r="I10" s="382">
        <v>420</v>
      </c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</row>
    <row r="11" spans="2:19" ht="12.75">
      <c r="B11" s="1062" t="s">
        <v>98</v>
      </c>
      <c r="C11" s="1063"/>
      <c r="D11" s="383">
        <v>5</v>
      </c>
      <c r="E11" s="384">
        <v>12</v>
      </c>
      <c r="F11" s="385">
        <v>32</v>
      </c>
      <c r="G11" s="383">
        <v>5</v>
      </c>
      <c r="H11" s="384">
        <v>10</v>
      </c>
      <c r="I11" s="385">
        <v>30</v>
      </c>
      <c r="J11" s="1051"/>
      <c r="K11" s="1051"/>
      <c r="L11" s="1051"/>
      <c r="M11" s="1051"/>
      <c r="N11" s="1051"/>
      <c r="O11" s="1051"/>
      <c r="P11" s="1051"/>
      <c r="Q11" s="1051"/>
      <c r="R11" s="1051"/>
      <c r="S11" s="1051"/>
    </row>
    <row r="12" spans="2:19" ht="13.5" thickBot="1">
      <c r="B12" s="1064" t="s">
        <v>327</v>
      </c>
      <c r="C12" s="1065"/>
      <c r="D12" s="386">
        <v>5</v>
      </c>
      <c r="E12" s="387">
        <v>12</v>
      </c>
      <c r="F12" s="388">
        <v>32</v>
      </c>
      <c r="G12" s="386">
        <v>5</v>
      </c>
      <c r="H12" s="387">
        <v>10</v>
      </c>
      <c r="I12" s="388">
        <v>30</v>
      </c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</row>
    <row r="13" spans="2:19" ht="12.75"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</row>
    <row r="14" spans="2:19" ht="12.75">
      <c r="B14" s="1050" t="s">
        <v>328</v>
      </c>
      <c r="C14" s="1051"/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</row>
    <row r="15" spans="2:19" ht="13.5" thickBot="1">
      <c r="B15" s="1051"/>
      <c r="C15" s="1051"/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</row>
    <row r="16" spans="2:19" ht="12.75">
      <c r="B16" s="1052" t="s">
        <v>197</v>
      </c>
      <c r="C16" s="1053"/>
      <c r="D16" s="1054" t="s">
        <v>462</v>
      </c>
      <c r="E16" s="1055"/>
      <c r="F16" s="1056"/>
      <c r="G16" s="1054" t="s">
        <v>463</v>
      </c>
      <c r="H16" s="1055"/>
      <c r="I16" s="1056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</row>
    <row r="17" spans="2:19" ht="12.75">
      <c r="B17" s="1057"/>
      <c r="C17" s="1058"/>
      <c r="D17" s="1059" t="s">
        <v>878</v>
      </c>
      <c r="E17" s="1060" t="s">
        <v>880</v>
      </c>
      <c r="F17" s="1061" t="s">
        <v>874</v>
      </c>
      <c r="G17" s="1059" t="s">
        <v>878</v>
      </c>
      <c r="H17" s="1060" t="s">
        <v>880</v>
      </c>
      <c r="I17" s="1061" t="s">
        <v>874</v>
      </c>
      <c r="J17" s="1051"/>
      <c r="K17" s="1051"/>
      <c r="L17" s="1051"/>
      <c r="M17" s="1051"/>
      <c r="N17" s="1051"/>
      <c r="O17" s="1051"/>
      <c r="P17" s="1051"/>
      <c r="Q17" s="1051"/>
      <c r="R17" s="1051"/>
      <c r="S17" s="1051"/>
    </row>
    <row r="18" spans="2:19" ht="12.75">
      <c r="B18" s="1062" t="s">
        <v>198</v>
      </c>
      <c r="C18" s="1066"/>
      <c r="D18" s="383">
        <v>0</v>
      </c>
      <c r="E18" s="384">
        <v>0</v>
      </c>
      <c r="F18" s="389">
        <v>0</v>
      </c>
      <c r="G18" s="383">
        <v>1</v>
      </c>
      <c r="H18" s="384">
        <v>3</v>
      </c>
      <c r="I18" s="389">
        <v>3</v>
      </c>
      <c r="J18" s="1051"/>
      <c r="K18" s="1051"/>
      <c r="L18" s="1051"/>
      <c r="M18" s="1051"/>
      <c r="N18" s="1051"/>
      <c r="O18" s="1051"/>
      <c r="P18" s="1051"/>
      <c r="Q18" s="1051"/>
      <c r="R18" s="1051"/>
      <c r="S18" s="1051"/>
    </row>
    <row r="19" spans="2:19" ht="12.75">
      <c r="B19" s="1062" t="s">
        <v>637</v>
      </c>
      <c r="C19" s="1066"/>
      <c r="D19" s="383">
        <v>0</v>
      </c>
      <c r="E19" s="384">
        <v>0</v>
      </c>
      <c r="F19" s="389">
        <v>0</v>
      </c>
      <c r="G19" s="383">
        <v>0</v>
      </c>
      <c r="H19" s="384">
        <v>0</v>
      </c>
      <c r="I19" s="389">
        <v>0</v>
      </c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</row>
    <row r="20" spans="2:19" ht="13.5" thickBot="1">
      <c r="B20" s="1064" t="s">
        <v>638</v>
      </c>
      <c r="C20" s="1065"/>
      <c r="D20" s="386">
        <v>0</v>
      </c>
      <c r="E20" s="390">
        <v>0</v>
      </c>
      <c r="F20" s="388">
        <v>0</v>
      </c>
      <c r="G20" s="386">
        <v>0</v>
      </c>
      <c r="H20" s="390">
        <v>0</v>
      </c>
      <c r="I20" s="388">
        <v>0</v>
      </c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</row>
    <row r="21" spans="2:19" ht="12.75"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</row>
    <row r="22" spans="2:19" ht="12.75">
      <c r="B22" s="1050" t="s">
        <v>639</v>
      </c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</row>
    <row r="23" spans="2:19" ht="13.5" thickBot="1">
      <c r="B23" s="1050"/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</row>
    <row r="24" spans="2:19" ht="12.75">
      <c r="B24" s="1067"/>
      <c r="C24" s="1068" t="s">
        <v>462</v>
      </c>
      <c r="D24" s="1069"/>
      <c r="E24" s="1069"/>
      <c r="F24" s="1069"/>
      <c r="G24" s="1070"/>
      <c r="H24" s="1068" t="s">
        <v>463</v>
      </c>
      <c r="I24" s="1071"/>
      <c r="J24" s="1071"/>
      <c r="K24" s="1071"/>
      <c r="L24" s="1070"/>
      <c r="M24" s="391"/>
      <c r="N24" s="1028" t="s">
        <v>462</v>
      </c>
      <c r="O24" s="1029"/>
      <c r="P24" s="1030"/>
      <c r="Q24" s="391"/>
      <c r="R24" s="1028" t="s">
        <v>463</v>
      </c>
      <c r="S24" s="1030"/>
    </row>
    <row r="25" spans="2:19" ht="12.75">
      <c r="B25" s="1072"/>
      <c r="C25" s="1031" t="s">
        <v>532</v>
      </c>
      <c r="D25" s="1032" t="s">
        <v>533</v>
      </c>
      <c r="E25" s="1032" t="s">
        <v>529</v>
      </c>
      <c r="F25" s="1032" t="s">
        <v>534</v>
      </c>
      <c r="G25" s="1033" t="s">
        <v>535</v>
      </c>
      <c r="H25" s="1031" t="s">
        <v>464</v>
      </c>
      <c r="I25" s="1032" t="s">
        <v>750</v>
      </c>
      <c r="J25" s="1032" t="s">
        <v>836</v>
      </c>
      <c r="K25" s="1032" t="s">
        <v>837</v>
      </c>
      <c r="L25" s="1033" t="s">
        <v>838</v>
      </c>
      <c r="M25" s="391"/>
      <c r="N25" s="1031" t="s">
        <v>490</v>
      </c>
      <c r="O25" s="1032" t="s">
        <v>491</v>
      </c>
      <c r="P25" s="1033" t="s">
        <v>881</v>
      </c>
      <c r="Q25" s="391"/>
      <c r="R25" s="1031" t="s">
        <v>491</v>
      </c>
      <c r="S25" s="1033" t="s">
        <v>625</v>
      </c>
    </row>
    <row r="26" spans="2:19" ht="12.75">
      <c r="B26" s="1073"/>
      <c r="C26" s="1074" t="s">
        <v>351</v>
      </c>
      <c r="D26" s="1075" t="s">
        <v>351</v>
      </c>
      <c r="E26" s="1075" t="s">
        <v>351</v>
      </c>
      <c r="F26" s="1075" t="s">
        <v>351</v>
      </c>
      <c r="G26" s="1076" t="s">
        <v>351</v>
      </c>
      <c r="H26" s="1074" t="s">
        <v>351</v>
      </c>
      <c r="I26" s="1075" t="s">
        <v>351</v>
      </c>
      <c r="J26" s="1075" t="s">
        <v>351</v>
      </c>
      <c r="K26" s="1075" t="s">
        <v>351</v>
      </c>
      <c r="L26" s="1076" t="s">
        <v>351</v>
      </c>
      <c r="M26" s="392"/>
      <c r="N26" s="1074" t="s">
        <v>351</v>
      </c>
      <c r="O26" s="1075" t="s">
        <v>351</v>
      </c>
      <c r="P26" s="1076" t="s">
        <v>351</v>
      </c>
      <c r="Q26" s="392"/>
      <c r="R26" s="1074" t="s">
        <v>351</v>
      </c>
      <c r="S26" s="1076" t="s">
        <v>351</v>
      </c>
    </row>
    <row r="27" spans="2:19" ht="12.75">
      <c r="B27" s="1077" t="s">
        <v>352</v>
      </c>
      <c r="C27" s="1078"/>
      <c r="D27" s="1079"/>
      <c r="E27" s="1079"/>
      <c r="F27" s="1079"/>
      <c r="G27" s="1080"/>
      <c r="H27" s="1078"/>
      <c r="I27" s="1079"/>
      <c r="J27" s="1079"/>
      <c r="K27" s="1079"/>
      <c r="L27" s="1080"/>
      <c r="M27" s="392"/>
      <c r="N27" s="1078"/>
      <c r="O27" s="1081"/>
      <c r="P27" s="1082"/>
      <c r="Q27" s="392"/>
      <c r="R27" s="1078"/>
      <c r="S27" s="1083"/>
    </row>
    <row r="28" spans="2:19" ht="12.75">
      <c r="B28" s="1084" t="s">
        <v>353</v>
      </c>
      <c r="C28" s="331">
        <v>0</v>
      </c>
      <c r="D28" s="332">
        <v>0</v>
      </c>
      <c r="E28" s="332">
        <v>0</v>
      </c>
      <c r="F28" s="332">
        <v>0</v>
      </c>
      <c r="G28" s="333">
        <v>0</v>
      </c>
      <c r="H28" s="331">
        <v>0</v>
      </c>
      <c r="I28" s="334">
        <v>0</v>
      </c>
      <c r="J28" s="334">
        <v>0</v>
      </c>
      <c r="K28" s="334">
        <v>0</v>
      </c>
      <c r="L28" s="333">
        <v>0</v>
      </c>
      <c r="M28" s="391"/>
      <c r="N28" s="1039">
        <v>0</v>
      </c>
      <c r="O28" s="1040">
        <v>0</v>
      </c>
      <c r="P28" s="1041">
        <v>0</v>
      </c>
      <c r="Q28" s="391"/>
      <c r="R28" s="1039">
        <v>0</v>
      </c>
      <c r="S28" s="1042" t="s">
        <v>662</v>
      </c>
    </row>
    <row r="29" spans="2:19" ht="12.75">
      <c r="B29" s="1084" t="s">
        <v>874</v>
      </c>
      <c r="C29" s="331">
        <v>0</v>
      </c>
      <c r="D29" s="332">
        <v>0</v>
      </c>
      <c r="E29" s="332">
        <v>0.7975758011599007</v>
      </c>
      <c r="F29" s="332">
        <v>0</v>
      </c>
      <c r="G29" s="333">
        <v>0</v>
      </c>
      <c r="H29" s="331">
        <v>0.5297334860239471</v>
      </c>
      <c r="I29" s="334">
        <v>0</v>
      </c>
      <c r="J29" s="334">
        <v>0</v>
      </c>
      <c r="K29" s="334">
        <v>0.7224400253536021</v>
      </c>
      <c r="L29" s="333">
        <v>0</v>
      </c>
      <c r="M29" s="391"/>
      <c r="N29" s="1039">
        <v>0.7975758011599007</v>
      </c>
      <c r="O29" s="1040">
        <v>0</v>
      </c>
      <c r="P29" s="1041">
        <v>0.7975758011599007</v>
      </c>
      <c r="Q29" s="391"/>
      <c r="R29" s="1039">
        <v>1.2521735113775492</v>
      </c>
      <c r="S29" s="1042">
        <v>0.5699743015730102</v>
      </c>
    </row>
    <row r="30" spans="2:19" ht="12.75">
      <c r="B30" s="1084" t="s">
        <v>354</v>
      </c>
      <c r="C30" s="331">
        <v>0</v>
      </c>
      <c r="D30" s="332">
        <v>0</v>
      </c>
      <c r="E30" s="332">
        <v>0.7975758011599007</v>
      </c>
      <c r="F30" s="332">
        <v>2.454108931623932</v>
      </c>
      <c r="G30" s="333">
        <v>0.6665307109450702</v>
      </c>
      <c r="H30" s="331">
        <v>3.6021877049628404</v>
      </c>
      <c r="I30" s="334">
        <v>0.7241370667440239</v>
      </c>
      <c r="J30" s="334">
        <v>1.0326012169223362</v>
      </c>
      <c r="K30" s="334">
        <v>1.6512914865225192</v>
      </c>
      <c r="L30" s="333">
        <v>0</v>
      </c>
      <c r="M30" s="391"/>
      <c r="N30" s="1039">
        <v>0.7975758011599007</v>
      </c>
      <c r="O30" s="1040">
        <v>3.120639642569002</v>
      </c>
      <c r="P30" s="1041">
        <v>3.918215443728903</v>
      </c>
      <c r="Q30" s="391"/>
      <c r="R30" s="1039">
        <v>7.01021747515172</v>
      </c>
      <c r="S30" s="1042">
        <v>0.7891352774823959</v>
      </c>
    </row>
    <row r="31" spans="2:19" ht="12.75">
      <c r="B31" s="1084" t="s">
        <v>355</v>
      </c>
      <c r="C31" s="331">
        <v>0</v>
      </c>
      <c r="D31" s="332">
        <v>0</v>
      </c>
      <c r="E31" s="332">
        <v>2.093636478044739</v>
      </c>
      <c r="F31" s="332">
        <v>2.7887601495726493</v>
      </c>
      <c r="G31" s="333">
        <v>4.221361169318779</v>
      </c>
      <c r="H31" s="331">
        <v>0</v>
      </c>
      <c r="I31" s="334">
        <v>0.517240761960017</v>
      </c>
      <c r="J31" s="334">
        <v>0.5163006084611681</v>
      </c>
      <c r="K31" s="334">
        <v>0</v>
      </c>
      <c r="L31" s="333">
        <v>0</v>
      </c>
      <c r="M31" s="391"/>
      <c r="N31" s="1039">
        <v>2.093636478044739</v>
      </c>
      <c r="O31" s="1040">
        <v>7.010121318891429</v>
      </c>
      <c r="P31" s="1041">
        <v>9.103757796936168</v>
      </c>
      <c r="Q31" s="391"/>
      <c r="R31" s="1039">
        <v>1.033541370421185</v>
      </c>
      <c r="S31" s="1042">
        <v>-0.8864709064679841</v>
      </c>
    </row>
    <row r="32" spans="2:19" ht="13.5" thickBot="1">
      <c r="B32" s="1085" t="s">
        <v>356</v>
      </c>
      <c r="C32" s="1086">
        <v>0</v>
      </c>
      <c r="D32" s="1087">
        <v>0</v>
      </c>
      <c r="E32" s="1087">
        <v>3.6887880803645405</v>
      </c>
      <c r="F32" s="1087">
        <v>5.242869081196581</v>
      </c>
      <c r="G32" s="1088">
        <v>4.887891880263849</v>
      </c>
      <c r="H32" s="1086">
        <v>4.1319211909867875</v>
      </c>
      <c r="I32" s="1089">
        <v>1.241377828704041</v>
      </c>
      <c r="J32" s="1089">
        <v>1.5489018253835043</v>
      </c>
      <c r="K32" s="1089">
        <v>2.3737315118761213</v>
      </c>
      <c r="L32" s="1088">
        <v>0</v>
      </c>
      <c r="M32" s="393"/>
      <c r="N32" s="1086">
        <v>3.6887880803645405</v>
      </c>
      <c r="O32" s="1089">
        <v>10.13076096146043</v>
      </c>
      <c r="P32" s="1088">
        <v>13.81954904182497</v>
      </c>
      <c r="Q32" s="393"/>
      <c r="R32" s="1086">
        <v>9.295932356950454</v>
      </c>
      <c r="S32" s="1090">
        <v>-0.3273346091962738</v>
      </c>
    </row>
    <row r="33" spans="2:19" ht="12.75">
      <c r="B33" s="1051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281"/>
      <c r="N33" s="1051"/>
      <c r="O33" s="1051"/>
      <c r="P33" s="1051"/>
      <c r="Q33" s="281"/>
      <c r="R33" s="1051"/>
      <c r="S33" s="1051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G23" sqref="G23"/>
    </sheetView>
  </sheetViews>
  <sheetFormatPr defaultColWidth="11.42187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862" t="s">
        <v>805</v>
      </c>
      <c r="F1" s="857" t="s">
        <v>55</v>
      </c>
      <c r="G1" t="s">
        <v>806</v>
      </c>
    </row>
    <row r="2" ht="12.75">
      <c r="A2" s="862"/>
    </row>
    <row r="3" ht="12.75">
      <c r="A3" s="862" t="s">
        <v>807</v>
      </c>
    </row>
    <row r="5" spans="2:20" ht="19.5">
      <c r="B5" s="394" t="s">
        <v>458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281"/>
      <c r="P5" s="281"/>
      <c r="Q5" s="281"/>
      <c r="R5" s="281"/>
      <c r="S5" s="281"/>
      <c r="T5" s="281"/>
    </row>
    <row r="6" spans="2:20" ht="15" thickBot="1"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281"/>
      <c r="O6" s="397"/>
      <c r="P6" s="397"/>
      <c r="Q6" s="397"/>
      <c r="R6" s="281"/>
      <c r="S6" s="397"/>
      <c r="T6" s="397"/>
    </row>
    <row r="7" spans="2:20" ht="15">
      <c r="B7" s="398" t="s">
        <v>459</v>
      </c>
      <c r="C7" s="399"/>
      <c r="D7" s="400" t="s">
        <v>460</v>
      </c>
      <c r="E7" s="401"/>
      <c r="F7" s="401"/>
      <c r="G7" s="401"/>
      <c r="H7" s="402"/>
      <c r="I7" s="400" t="s">
        <v>461</v>
      </c>
      <c r="J7" s="401"/>
      <c r="K7" s="401"/>
      <c r="L7" s="401"/>
      <c r="M7" s="402"/>
      <c r="N7" s="281"/>
      <c r="O7" s="1028" t="s">
        <v>462</v>
      </c>
      <c r="P7" s="1029"/>
      <c r="Q7" s="1030"/>
      <c r="R7" s="281"/>
      <c r="S7" s="1028" t="s">
        <v>463</v>
      </c>
      <c r="T7" s="1030"/>
    </row>
    <row r="8" spans="2:20" ht="15">
      <c r="B8" s="403"/>
      <c r="C8" s="404"/>
      <c r="D8" s="405" t="s">
        <v>532</v>
      </c>
      <c r="E8" s="406" t="s">
        <v>533</v>
      </c>
      <c r="F8" s="406" t="s">
        <v>529</v>
      </c>
      <c r="G8" s="406" t="s">
        <v>534</v>
      </c>
      <c r="H8" s="407" t="s">
        <v>535</v>
      </c>
      <c r="I8" s="405" t="s">
        <v>464</v>
      </c>
      <c r="J8" s="406" t="s">
        <v>750</v>
      </c>
      <c r="K8" s="406" t="s">
        <v>836</v>
      </c>
      <c r="L8" s="406" t="s">
        <v>837</v>
      </c>
      <c r="M8" s="407" t="s">
        <v>838</v>
      </c>
      <c r="N8" s="281"/>
      <c r="O8" s="1031" t="s">
        <v>490</v>
      </c>
      <c r="P8" s="1032" t="s">
        <v>491</v>
      </c>
      <c r="Q8" s="1033" t="s">
        <v>881</v>
      </c>
      <c r="R8" s="281"/>
      <c r="S8" s="1031" t="s">
        <v>491</v>
      </c>
      <c r="T8" s="1033" t="s">
        <v>625</v>
      </c>
    </row>
    <row r="9" spans="2:20" ht="18">
      <c r="B9" s="408"/>
      <c r="C9" s="409"/>
      <c r="D9" s="405" t="s">
        <v>849</v>
      </c>
      <c r="E9" s="406" t="s">
        <v>849</v>
      </c>
      <c r="F9" s="406" t="s">
        <v>849</v>
      </c>
      <c r="G9" s="406" t="s">
        <v>849</v>
      </c>
      <c r="H9" s="407" t="s">
        <v>849</v>
      </c>
      <c r="I9" s="410" t="s">
        <v>849</v>
      </c>
      <c r="J9" s="406" t="s">
        <v>849</v>
      </c>
      <c r="K9" s="406" t="s">
        <v>849</v>
      </c>
      <c r="L9" s="406" t="s">
        <v>849</v>
      </c>
      <c r="M9" s="407" t="s">
        <v>849</v>
      </c>
      <c r="N9" s="396"/>
      <c r="O9" s="1034"/>
      <c r="P9" s="1035"/>
      <c r="Q9" s="1036"/>
      <c r="R9" s="281"/>
      <c r="S9" s="1037"/>
      <c r="T9" s="1038"/>
    </row>
    <row r="10" spans="2:20" ht="14.25" customHeight="1">
      <c r="B10" s="1465" t="s">
        <v>714</v>
      </c>
      <c r="C10" s="411" t="s">
        <v>715</v>
      </c>
      <c r="D10" s="412">
        <v>0.29920762142543345</v>
      </c>
      <c r="E10" s="413">
        <v>0.29907656419407114</v>
      </c>
      <c r="F10" s="413">
        <v>1.0976789316002178</v>
      </c>
      <c r="G10" s="413">
        <v>4.021020495724018</v>
      </c>
      <c r="H10" s="414">
        <v>2.3369847146460714</v>
      </c>
      <c r="I10" s="412">
        <v>1.9103522168597962</v>
      </c>
      <c r="J10" s="413">
        <v>1.8661899290299955</v>
      </c>
      <c r="K10" s="413">
        <v>1.8629502247538514</v>
      </c>
      <c r="L10" s="413">
        <v>1.9658635063471863</v>
      </c>
      <c r="M10" s="414">
        <v>1.983307357938886</v>
      </c>
      <c r="N10" s="396"/>
      <c r="O10" s="1039">
        <v>1.6959631172197223</v>
      </c>
      <c r="P10" s="1040">
        <v>6.35800521037009</v>
      </c>
      <c r="Q10" s="1041">
        <v>8.053968327589812</v>
      </c>
      <c r="R10" s="281"/>
      <c r="S10" s="1039">
        <v>9.588663234929715</v>
      </c>
      <c r="T10" s="1042">
        <v>0.19055139589792344</v>
      </c>
    </row>
    <row r="11" spans="2:20" ht="14.25" customHeight="1">
      <c r="B11" s="1466"/>
      <c r="C11" s="415" t="s">
        <v>716</v>
      </c>
      <c r="D11" s="416">
        <v>1.6955098547441227</v>
      </c>
      <c r="E11" s="417">
        <v>2.3926125135525695</v>
      </c>
      <c r="F11" s="417">
        <v>3.592403776146167</v>
      </c>
      <c r="G11" s="417">
        <v>0.33508504131033484</v>
      </c>
      <c r="H11" s="418">
        <v>0.7789949048820237</v>
      </c>
      <c r="I11" s="416">
        <v>1.2735681445731974</v>
      </c>
      <c r="J11" s="417">
        <v>1.3478038376327743</v>
      </c>
      <c r="K11" s="417">
        <v>1.4489612859196621</v>
      </c>
      <c r="L11" s="417">
        <v>1.6554640053449992</v>
      </c>
      <c r="M11" s="418">
        <v>1.7745381623663716</v>
      </c>
      <c r="N11" s="396"/>
      <c r="O11" s="1039">
        <v>7.680526144442859</v>
      </c>
      <c r="P11" s="1040">
        <v>1.1140799461923585</v>
      </c>
      <c r="Q11" s="1041">
        <v>8.794606090635218</v>
      </c>
      <c r="R11" s="281"/>
      <c r="S11" s="1039">
        <v>7.5003354358370045</v>
      </c>
      <c r="T11" s="1042">
        <v>-0.1471664155801583</v>
      </c>
    </row>
    <row r="12" spans="2:20" ht="14.25" customHeight="1">
      <c r="B12" s="1466" t="s">
        <v>599</v>
      </c>
      <c r="C12" s="415" t="s">
        <v>715</v>
      </c>
      <c r="D12" s="416">
        <v>0</v>
      </c>
      <c r="E12" s="417">
        <v>0</v>
      </c>
      <c r="F12" s="417">
        <v>0</v>
      </c>
      <c r="G12" s="417">
        <v>0</v>
      </c>
      <c r="H12" s="418">
        <v>0</v>
      </c>
      <c r="I12" s="416">
        <v>0</v>
      </c>
      <c r="J12" s="417">
        <v>0</v>
      </c>
      <c r="K12" s="417">
        <v>0</v>
      </c>
      <c r="L12" s="417">
        <v>0</v>
      </c>
      <c r="M12" s="418">
        <v>0</v>
      </c>
      <c r="N12" s="396"/>
      <c r="O12" s="1039">
        <v>0</v>
      </c>
      <c r="P12" s="1040">
        <v>0</v>
      </c>
      <c r="Q12" s="1041">
        <v>0</v>
      </c>
      <c r="R12" s="281"/>
      <c r="S12" s="1039">
        <v>0</v>
      </c>
      <c r="T12" s="1042" t="s">
        <v>662</v>
      </c>
    </row>
    <row r="13" spans="2:20" ht="14.25" customHeight="1">
      <c r="B13" s="1466"/>
      <c r="C13" s="415" t="s">
        <v>716</v>
      </c>
      <c r="D13" s="416">
        <v>0</v>
      </c>
      <c r="E13" s="417">
        <v>0</v>
      </c>
      <c r="F13" s="417">
        <v>0</v>
      </c>
      <c r="G13" s="417">
        <v>0</v>
      </c>
      <c r="H13" s="418">
        <v>0</v>
      </c>
      <c r="I13" s="416">
        <v>0</v>
      </c>
      <c r="J13" s="417">
        <v>0</v>
      </c>
      <c r="K13" s="417">
        <v>0</v>
      </c>
      <c r="L13" s="417">
        <v>0</v>
      </c>
      <c r="M13" s="418">
        <v>0</v>
      </c>
      <c r="N13" s="396"/>
      <c r="O13" s="1039">
        <v>0</v>
      </c>
      <c r="P13" s="1040">
        <v>0</v>
      </c>
      <c r="Q13" s="1041">
        <v>0</v>
      </c>
      <c r="R13" s="281"/>
      <c r="S13" s="1039">
        <v>0</v>
      </c>
      <c r="T13" s="1042" t="s">
        <v>662</v>
      </c>
    </row>
    <row r="14" spans="2:20" ht="14.25" customHeight="1">
      <c r="B14" s="1467" t="s">
        <v>695</v>
      </c>
      <c r="C14" s="415" t="s">
        <v>743</v>
      </c>
      <c r="D14" s="416">
        <v>0.39894349523391126</v>
      </c>
      <c r="E14" s="417">
        <v>0.49846094032345195</v>
      </c>
      <c r="F14" s="417">
        <v>0.6985229564728659</v>
      </c>
      <c r="G14" s="417">
        <v>4.914580605884911</v>
      </c>
      <c r="H14" s="418">
        <v>4.785254415703861</v>
      </c>
      <c r="I14" s="416">
        <v>1.2735681445731974</v>
      </c>
      <c r="J14" s="417">
        <v>1.2441266193533302</v>
      </c>
      <c r="K14" s="417">
        <v>1.3454640512111147</v>
      </c>
      <c r="L14" s="417">
        <v>1.3450645043428118</v>
      </c>
      <c r="M14" s="418">
        <v>1.3569997712213433</v>
      </c>
      <c r="N14" s="396"/>
      <c r="O14" s="1039">
        <v>1.595927392030229</v>
      </c>
      <c r="P14" s="1040">
        <v>9.699835021588772</v>
      </c>
      <c r="Q14" s="1041">
        <v>11.295762413619002</v>
      </c>
      <c r="R14" s="281"/>
      <c r="S14" s="1039">
        <v>6.565223090701798</v>
      </c>
      <c r="T14" s="1042">
        <v>-0.4187888475074262</v>
      </c>
    </row>
    <row r="15" spans="2:20" ht="14.25" customHeight="1">
      <c r="B15" s="1467"/>
      <c r="C15" s="415" t="s">
        <v>744</v>
      </c>
      <c r="D15" s="416">
        <v>1.3963022333186894</v>
      </c>
      <c r="E15" s="417">
        <v>2.4923047016172597</v>
      </c>
      <c r="F15" s="417">
        <v>3.9915597512735186</v>
      </c>
      <c r="G15" s="417">
        <v>0.33508504131033484</v>
      </c>
      <c r="H15" s="418">
        <v>0.7789949048820237</v>
      </c>
      <c r="I15" s="416">
        <v>0.849045429715465</v>
      </c>
      <c r="J15" s="417">
        <v>0.8294177462355535</v>
      </c>
      <c r="K15" s="417">
        <v>1.2419668165025675</v>
      </c>
      <c r="L15" s="417">
        <v>1.5519975050109367</v>
      </c>
      <c r="M15" s="418">
        <v>1.774538162366372</v>
      </c>
      <c r="N15" s="396"/>
      <c r="O15" s="1039">
        <v>7.880166686209468</v>
      </c>
      <c r="P15" s="1040">
        <v>1.1140799461923585</v>
      </c>
      <c r="Q15" s="1041">
        <v>8.994246632401827</v>
      </c>
      <c r="R15" s="281"/>
      <c r="S15" s="1039">
        <v>6.246965659830895</v>
      </c>
      <c r="T15" s="1042">
        <v>-0.30544870347159886</v>
      </c>
    </row>
    <row r="16" spans="2:20" ht="14.25" customHeight="1">
      <c r="B16" s="1467"/>
      <c r="C16" s="419" t="s">
        <v>64</v>
      </c>
      <c r="D16" s="416">
        <v>0.5984152428508669</v>
      </c>
      <c r="E16" s="417">
        <v>0.8972296925822134</v>
      </c>
      <c r="F16" s="417">
        <v>1.1974679253820557</v>
      </c>
      <c r="G16" s="417">
        <v>0.5584750688505581</v>
      </c>
      <c r="H16" s="418">
        <v>1.1128498641171767</v>
      </c>
      <c r="I16" s="416">
        <v>0.849045429715465</v>
      </c>
      <c r="J16" s="417">
        <v>0.9330949645149977</v>
      </c>
      <c r="K16" s="417">
        <v>1.034972347085473</v>
      </c>
      <c r="L16" s="417">
        <v>1.1381315036746869</v>
      </c>
      <c r="M16" s="418">
        <v>1.252615173435086</v>
      </c>
      <c r="N16" s="396"/>
      <c r="O16" s="1039">
        <v>2.693112860815136</v>
      </c>
      <c r="P16" s="1040">
        <v>1.6713249329677349</v>
      </c>
      <c r="Q16" s="1041">
        <v>4.364437793782871</v>
      </c>
      <c r="R16" s="281"/>
      <c r="S16" s="1039">
        <v>5.207859418425708</v>
      </c>
      <c r="T16" s="1042">
        <v>0.1932486300627973</v>
      </c>
    </row>
    <row r="17" spans="2:20" ht="14.25" customHeight="1">
      <c r="B17" s="1467" t="s">
        <v>874</v>
      </c>
      <c r="C17" s="415" t="s">
        <v>65</v>
      </c>
      <c r="D17" s="416">
        <v>2.7926044666373793</v>
      </c>
      <c r="E17" s="417">
        <v>2.791381265811331</v>
      </c>
      <c r="F17" s="417">
        <v>2.794091825891463</v>
      </c>
      <c r="G17" s="417">
        <v>11.727976445861719</v>
      </c>
      <c r="H17" s="418">
        <v>10.238218749878026</v>
      </c>
      <c r="I17" s="416">
        <v>6.473971401580421</v>
      </c>
      <c r="J17" s="417">
        <v>5.909601441928319</v>
      </c>
      <c r="K17" s="417">
        <v>5.588850674261554</v>
      </c>
      <c r="L17" s="417">
        <v>5.276791517037184</v>
      </c>
      <c r="M17" s="418">
        <v>5.219229889312858</v>
      </c>
      <c r="N17" s="396"/>
      <c r="O17" s="1039">
        <v>8.378077558340173</v>
      </c>
      <c r="P17" s="1040">
        <v>21.966195195739743</v>
      </c>
      <c r="Q17" s="1041">
        <v>30.34427275407992</v>
      </c>
      <c r="R17" s="281"/>
      <c r="S17" s="1039">
        <v>28.468444924120334</v>
      </c>
      <c r="T17" s="1042">
        <v>-0.06181818378584714</v>
      </c>
    </row>
    <row r="18" spans="2:20" ht="14.25" customHeight="1">
      <c r="B18" s="1467"/>
      <c r="C18" s="415" t="s">
        <v>612</v>
      </c>
      <c r="D18" s="416">
        <v>1.4960381071271673</v>
      </c>
      <c r="E18" s="417">
        <v>1.9938437612938078</v>
      </c>
      <c r="F18" s="417">
        <v>3.0934588072369773</v>
      </c>
      <c r="G18" s="417">
        <v>0.5584750688505581</v>
      </c>
      <c r="H18" s="418">
        <v>1.001564877705459</v>
      </c>
      <c r="I18" s="416">
        <v>1.0613067871443311</v>
      </c>
      <c r="J18" s="417">
        <v>1.140449401073886</v>
      </c>
      <c r="K18" s="417">
        <v>1.2419668165025675</v>
      </c>
      <c r="L18" s="417">
        <v>1.2415980040087493</v>
      </c>
      <c r="M18" s="418">
        <v>1.4613843690076003</v>
      </c>
      <c r="N18" s="396"/>
      <c r="O18" s="1039">
        <v>6.5833406756579524</v>
      </c>
      <c r="P18" s="1040">
        <v>1.5600399465560173</v>
      </c>
      <c r="Q18" s="1041">
        <v>8.14338062221397</v>
      </c>
      <c r="R18" s="281"/>
      <c r="S18" s="1039">
        <v>6.146705377737134</v>
      </c>
      <c r="T18" s="1042">
        <v>-0.2451899692653679</v>
      </c>
    </row>
    <row r="19" spans="2:20" ht="14.25" customHeight="1">
      <c r="B19" s="1467"/>
      <c r="C19" s="419" t="s">
        <v>619</v>
      </c>
      <c r="D19" s="416">
        <v>0</v>
      </c>
      <c r="E19" s="417">
        <v>0</v>
      </c>
      <c r="F19" s="417">
        <v>0</v>
      </c>
      <c r="G19" s="417">
        <v>0</v>
      </c>
      <c r="H19" s="418">
        <v>0</v>
      </c>
      <c r="I19" s="416">
        <v>0</v>
      </c>
      <c r="J19" s="417">
        <v>0</v>
      </c>
      <c r="K19" s="417">
        <v>0</v>
      </c>
      <c r="L19" s="417">
        <v>0</v>
      </c>
      <c r="M19" s="418">
        <v>0</v>
      </c>
      <c r="N19" s="396"/>
      <c r="O19" s="1039">
        <v>0</v>
      </c>
      <c r="P19" s="1040">
        <v>0</v>
      </c>
      <c r="Q19" s="1041">
        <v>0</v>
      </c>
      <c r="R19" s="281"/>
      <c r="S19" s="1039">
        <v>0</v>
      </c>
      <c r="T19" s="1042" t="s">
        <v>662</v>
      </c>
    </row>
    <row r="20" spans="2:20" ht="14.25" customHeight="1">
      <c r="B20" s="1467"/>
      <c r="C20" s="419" t="s">
        <v>64</v>
      </c>
      <c r="D20" s="416">
        <v>3.8896990785306347</v>
      </c>
      <c r="E20" s="417">
        <v>6.479992224204875</v>
      </c>
      <c r="F20" s="417">
        <v>6.586073589601306</v>
      </c>
      <c r="G20" s="417">
        <v>4.356105537034352</v>
      </c>
      <c r="H20" s="418">
        <v>6.009389266232754</v>
      </c>
      <c r="I20" s="416">
        <v>6.898494116438153</v>
      </c>
      <c r="J20" s="417">
        <v>7.67211415267887</v>
      </c>
      <c r="K20" s="417">
        <v>8.176281541975237</v>
      </c>
      <c r="L20" s="417">
        <v>9.105052029397493</v>
      </c>
      <c r="M20" s="418">
        <v>8.350767822900572</v>
      </c>
      <c r="N20" s="396"/>
      <c r="O20" s="1039">
        <v>16.955764892336816</v>
      </c>
      <c r="P20" s="1040">
        <v>10.365494803267106</v>
      </c>
      <c r="Q20" s="1041">
        <v>27.32125969560392</v>
      </c>
      <c r="R20" s="281"/>
      <c r="S20" s="1039">
        <v>40.20270966339032</v>
      </c>
      <c r="T20" s="1042">
        <v>0.4714808215764323</v>
      </c>
    </row>
    <row r="21" spans="2:20" ht="14.25" customHeight="1">
      <c r="B21" s="1467"/>
      <c r="C21" s="415" t="s">
        <v>594</v>
      </c>
      <c r="D21" s="416">
        <v>0</v>
      </c>
      <c r="E21" s="417">
        <v>0.8972296925822135</v>
      </c>
      <c r="F21" s="417">
        <v>1.1974679253820557</v>
      </c>
      <c r="G21" s="417">
        <v>0.6701700826206696</v>
      </c>
      <c r="H21" s="418">
        <v>1.7805597825874828</v>
      </c>
      <c r="I21" s="416">
        <v>1.1674374658587645</v>
      </c>
      <c r="J21" s="417">
        <v>1.2441266193533302</v>
      </c>
      <c r="K21" s="417">
        <v>1.3454640512111147</v>
      </c>
      <c r="L21" s="417">
        <v>1.6554640053449992</v>
      </c>
      <c r="M21" s="418">
        <v>1.878922760152629</v>
      </c>
      <c r="N21" s="396"/>
      <c r="O21" s="1039">
        <v>2.094697617964269</v>
      </c>
      <c r="P21" s="1040">
        <v>2.450729865208152</v>
      </c>
      <c r="Q21" s="1041">
        <v>4.545427483172421</v>
      </c>
      <c r="R21" s="281"/>
      <c r="S21" s="1039">
        <v>7.291414901920837</v>
      </c>
      <c r="T21" s="1042">
        <v>0.6041208288800793</v>
      </c>
    </row>
    <row r="22" spans="2:20" ht="14.25" customHeight="1">
      <c r="B22" s="1467"/>
      <c r="C22" s="415" t="s">
        <v>595</v>
      </c>
      <c r="D22" s="416">
        <v>0.8976228642763003</v>
      </c>
      <c r="E22" s="417">
        <v>2.3926125135525695</v>
      </c>
      <c r="F22" s="417">
        <v>2.2951468569822735</v>
      </c>
      <c r="G22" s="417">
        <v>1.5637301927815628</v>
      </c>
      <c r="H22" s="418">
        <v>2.559554687469507</v>
      </c>
      <c r="I22" s="416">
        <v>1.2735681445731974</v>
      </c>
      <c r="J22" s="417">
        <v>1.2441266193533302</v>
      </c>
      <c r="K22" s="417">
        <v>1.2419668165025675</v>
      </c>
      <c r="L22" s="417">
        <v>1.2415980040087495</v>
      </c>
      <c r="M22" s="418">
        <v>1.2526151734350859</v>
      </c>
      <c r="N22" s="396"/>
      <c r="O22" s="1039">
        <v>5.585382234811144</v>
      </c>
      <c r="P22" s="1040">
        <v>4.12328488025107</v>
      </c>
      <c r="Q22" s="1041">
        <v>9.708667115062214</v>
      </c>
      <c r="R22" s="281"/>
      <c r="S22" s="1039">
        <v>6.25387475787293</v>
      </c>
      <c r="T22" s="1042">
        <v>-0.35584620589467447</v>
      </c>
    </row>
    <row r="23" spans="2:20" ht="14.25" customHeight="1">
      <c r="B23" s="1467" t="s">
        <v>880</v>
      </c>
      <c r="C23" s="415" t="s">
        <v>65</v>
      </c>
      <c r="D23" s="416">
        <v>0.09973587380847782</v>
      </c>
      <c r="E23" s="417">
        <v>0.49846094032345195</v>
      </c>
      <c r="F23" s="417">
        <v>0.9978899378183798</v>
      </c>
      <c r="G23" s="417">
        <v>3.4625454268734597</v>
      </c>
      <c r="H23" s="418">
        <v>0.8902798912937414</v>
      </c>
      <c r="I23" s="416">
        <v>2.0164828955742293</v>
      </c>
      <c r="J23" s="417">
        <v>6.427987533325539</v>
      </c>
      <c r="K23" s="417">
        <v>2.3804363982965873</v>
      </c>
      <c r="L23" s="417">
        <v>12.209047039419369</v>
      </c>
      <c r="M23" s="418">
        <v>7.411306442824259</v>
      </c>
      <c r="N23" s="396"/>
      <c r="O23" s="1039">
        <v>1.5960867519503097</v>
      </c>
      <c r="P23" s="1040">
        <v>4.352825318167201</v>
      </c>
      <c r="Q23" s="1041">
        <v>5.948912070117511</v>
      </c>
      <c r="R23" s="281"/>
      <c r="S23" s="1039">
        <v>30.445260309439984</v>
      </c>
      <c r="T23" s="1042">
        <v>4.117786235633264</v>
      </c>
    </row>
    <row r="24" spans="2:20" ht="14.25" customHeight="1">
      <c r="B24" s="1467"/>
      <c r="C24" s="415" t="s">
        <v>612</v>
      </c>
      <c r="D24" s="416">
        <v>1.4960381071271673</v>
      </c>
      <c r="E24" s="417">
        <v>1.3956906329056653</v>
      </c>
      <c r="F24" s="417">
        <v>1.8959908818549214</v>
      </c>
      <c r="G24" s="417">
        <v>0</v>
      </c>
      <c r="H24" s="418">
        <v>1.112849864117177</v>
      </c>
      <c r="I24" s="416">
        <v>0</v>
      </c>
      <c r="J24" s="417">
        <v>0</v>
      </c>
      <c r="K24" s="417">
        <v>5.0713645007188175</v>
      </c>
      <c r="L24" s="417">
        <v>3.1039950100218734</v>
      </c>
      <c r="M24" s="418">
        <v>0</v>
      </c>
      <c r="N24" s="396"/>
      <c r="O24" s="1039">
        <v>4.787719621887755</v>
      </c>
      <c r="P24" s="1040">
        <v>1.112849864117177</v>
      </c>
      <c r="Q24" s="1041">
        <v>5.900569486004931</v>
      </c>
      <c r="R24" s="281"/>
      <c r="S24" s="1039">
        <v>8.175359510740691</v>
      </c>
      <c r="T24" s="1042">
        <v>0.3855204197037497</v>
      </c>
    </row>
    <row r="25" spans="2:20" ht="14.25" customHeight="1">
      <c r="B25" s="1467"/>
      <c r="C25" s="415" t="s">
        <v>619</v>
      </c>
      <c r="D25" s="416">
        <v>0</v>
      </c>
      <c r="E25" s="417">
        <v>0</v>
      </c>
      <c r="F25" s="417">
        <v>0</v>
      </c>
      <c r="G25" s="417">
        <v>0</v>
      </c>
      <c r="H25" s="418">
        <v>0</v>
      </c>
      <c r="I25" s="416">
        <v>0</v>
      </c>
      <c r="J25" s="417">
        <v>0</v>
      </c>
      <c r="K25" s="417">
        <v>0</v>
      </c>
      <c r="L25" s="417">
        <v>0</v>
      </c>
      <c r="M25" s="418">
        <v>0</v>
      </c>
      <c r="N25" s="396"/>
      <c r="O25" s="1039">
        <v>0</v>
      </c>
      <c r="P25" s="1040">
        <v>0</v>
      </c>
      <c r="Q25" s="1041">
        <v>0</v>
      </c>
      <c r="R25" s="281"/>
      <c r="S25" s="1039">
        <v>0</v>
      </c>
      <c r="T25" s="1042" t="s">
        <v>662</v>
      </c>
    </row>
    <row r="26" spans="2:20" ht="14.25" customHeight="1">
      <c r="B26" s="1467"/>
      <c r="C26" s="415" t="s">
        <v>64</v>
      </c>
      <c r="D26" s="416">
        <v>0.29920762142543345</v>
      </c>
      <c r="E26" s="417">
        <v>0.8972296925822135</v>
      </c>
      <c r="F26" s="417">
        <v>1.1974679253820557</v>
      </c>
      <c r="G26" s="417">
        <v>1.1169501377011162</v>
      </c>
      <c r="H26" s="418">
        <v>1.001564877705459</v>
      </c>
      <c r="I26" s="416">
        <v>1.6980908594309299</v>
      </c>
      <c r="J26" s="417">
        <v>2.6956076752655487</v>
      </c>
      <c r="K26" s="417">
        <v>4.864370031301722</v>
      </c>
      <c r="L26" s="417">
        <v>3.9317270126943726</v>
      </c>
      <c r="M26" s="418">
        <v>6.889383453892973</v>
      </c>
      <c r="N26" s="396"/>
      <c r="O26" s="1039">
        <v>2.393905239389703</v>
      </c>
      <c r="P26" s="1040">
        <v>2.118515015406575</v>
      </c>
      <c r="Q26" s="1041">
        <v>4.512420254796279</v>
      </c>
      <c r="R26" s="281"/>
      <c r="S26" s="1039">
        <v>20.079179032585547</v>
      </c>
      <c r="T26" s="1042">
        <v>3.4497582004342937</v>
      </c>
    </row>
    <row r="27" spans="2:20" ht="14.25" customHeight="1">
      <c r="B27" s="1467"/>
      <c r="C27" s="415" t="s">
        <v>594</v>
      </c>
      <c r="D27" s="416">
        <v>0.19947174761695563</v>
      </c>
      <c r="E27" s="417">
        <v>0.8972296925822135</v>
      </c>
      <c r="F27" s="417">
        <v>0.4989449689091899</v>
      </c>
      <c r="G27" s="417">
        <v>0.6701700826206696</v>
      </c>
      <c r="H27" s="418">
        <v>0.5564249320585883</v>
      </c>
      <c r="I27" s="416">
        <v>0.7429147510010319</v>
      </c>
      <c r="J27" s="417">
        <v>1.8661899290299955</v>
      </c>
      <c r="K27" s="417">
        <v>2.6909281024222294</v>
      </c>
      <c r="L27" s="417">
        <v>2.6901290086856235</v>
      </c>
      <c r="M27" s="418">
        <v>0.7306921845038002</v>
      </c>
      <c r="N27" s="396"/>
      <c r="O27" s="1039">
        <v>1.5956464091083589</v>
      </c>
      <c r="P27" s="1040">
        <v>1.226595014679258</v>
      </c>
      <c r="Q27" s="1041">
        <v>2.8222414237876166</v>
      </c>
      <c r="R27" s="281"/>
      <c r="S27" s="1039">
        <v>8.720853975642681</v>
      </c>
      <c r="T27" s="1042">
        <v>2.0900453455674866</v>
      </c>
    </row>
    <row r="28" spans="2:20" ht="14.25" customHeight="1">
      <c r="B28" s="1467"/>
      <c r="C28" s="420" t="s">
        <v>595</v>
      </c>
      <c r="D28" s="416">
        <v>0.19947174761695563</v>
      </c>
      <c r="E28" s="417">
        <v>1.495382820970356</v>
      </c>
      <c r="F28" s="417">
        <v>0.9978899378183798</v>
      </c>
      <c r="G28" s="417">
        <v>2.2339002754022323</v>
      </c>
      <c r="H28" s="418">
        <v>2.225699728234354</v>
      </c>
      <c r="I28" s="416">
        <v>0.31839203614329936</v>
      </c>
      <c r="J28" s="417">
        <v>0.10367721827944419</v>
      </c>
      <c r="K28" s="417">
        <v>0.2069944694170946</v>
      </c>
      <c r="L28" s="417">
        <v>0.10346650033406245</v>
      </c>
      <c r="M28" s="418">
        <v>0.20876919557251436</v>
      </c>
      <c r="N28" s="396"/>
      <c r="O28" s="1039">
        <v>2.6927445064056914</v>
      </c>
      <c r="P28" s="1040">
        <v>4.459600003636586</v>
      </c>
      <c r="Q28" s="1041">
        <v>7.152344510042278</v>
      </c>
      <c r="R28" s="281"/>
      <c r="S28" s="1039">
        <v>0.9412994197464151</v>
      </c>
      <c r="T28" s="1042">
        <v>-0.8683928859376419</v>
      </c>
    </row>
    <row r="29" spans="2:20" ht="14.25" customHeight="1">
      <c r="B29" s="1467" t="s">
        <v>878</v>
      </c>
      <c r="C29" s="421" t="s">
        <v>65</v>
      </c>
      <c r="D29" s="416">
        <v>0.7978869904678225</v>
      </c>
      <c r="E29" s="417">
        <v>0.8972296925822135</v>
      </c>
      <c r="F29" s="417">
        <v>7.783541514983361</v>
      </c>
      <c r="G29" s="417">
        <v>8.37712603275837</v>
      </c>
      <c r="H29" s="418">
        <v>6.899669157526496</v>
      </c>
      <c r="I29" s="416">
        <v>2.7593976465752608</v>
      </c>
      <c r="J29" s="417">
        <v>0</v>
      </c>
      <c r="K29" s="417">
        <v>0.7244806429598311</v>
      </c>
      <c r="L29" s="417">
        <v>0</v>
      </c>
      <c r="M29" s="418">
        <v>4.384153107022802</v>
      </c>
      <c r="N29" s="396"/>
      <c r="O29" s="1039">
        <v>9.478658198033397</v>
      </c>
      <c r="P29" s="1040">
        <v>15.276795190284867</v>
      </c>
      <c r="Q29" s="1041">
        <v>24.755453388318266</v>
      </c>
      <c r="R29" s="281"/>
      <c r="S29" s="1039">
        <v>7.868031396557893</v>
      </c>
      <c r="T29" s="1042">
        <v>-0.6821697719230341</v>
      </c>
    </row>
    <row r="30" spans="2:20" ht="14.25" customHeight="1">
      <c r="B30" s="1467"/>
      <c r="C30" s="415" t="s">
        <v>612</v>
      </c>
      <c r="D30" s="416">
        <v>2.9920762142543347</v>
      </c>
      <c r="E30" s="417">
        <v>0.29907656419407114</v>
      </c>
      <c r="F30" s="417">
        <v>0</v>
      </c>
      <c r="G30" s="417">
        <v>0</v>
      </c>
      <c r="H30" s="418">
        <v>0.5564249320585885</v>
      </c>
      <c r="I30" s="416">
        <v>1.2735681445731974</v>
      </c>
      <c r="J30" s="417">
        <v>5.702247005369429</v>
      </c>
      <c r="K30" s="417">
        <v>6.830817490764121</v>
      </c>
      <c r="L30" s="417">
        <v>9.829317531735931</v>
      </c>
      <c r="M30" s="418">
        <v>9.91653678969443</v>
      </c>
      <c r="N30" s="396"/>
      <c r="O30" s="1039">
        <v>3.2911527784484056</v>
      </c>
      <c r="P30" s="1040">
        <v>0.5564249320585885</v>
      </c>
      <c r="Q30" s="1041">
        <v>3.847577710506994</v>
      </c>
      <c r="R30" s="281"/>
      <c r="S30" s="1039">
        <v>33.55248696213711</v>
      </c>
      <c r="T30" s="1042">
        <v>7.720418270048641</v>
      </c>
    </row>
    <row r="31" spans="2:20" ht="14.25" customHeight="1">
      <c r="B31" s="1467"/>
      <c r="C31" s="420" t="s">
        <v>613</v>
      </c>
      <c r="D31" s="416">
        <v>0</v>
      </c>
      <c r="E31" s="417">
        <v>0</v>
      </c>
      <c r="F31" s="417">
        <v>0</v>
      </c>
      <c r="G31" s="417">
        <v>0</v>
      </c>
      <c r="H31" s="418">
        <v>0</v>
      </c>
      <c r="I31" s="416">
        <v>0</v>
      </c>
      <c r="J31" s="417">
        <v>0</v>
      </c>
      <c r="K31" s="417">
        <v>0</v>
      </c>
      <c r="L31" s="417">
        <v>0</v>
      </c>
      <c r="M31" s="418">
        <v>0</v>
      </c>
      <c r="N31" s="396"/>
      <c r="O31" s="1039">
        <v>0</v>
      </c>
      <c r="P31" s="1040">
        <v>0</v>
      </c>
      <c r="Q31" s="1041">
        <v>0</v>
      </c>
      <c r="R31" s="281"/>
      <c r="S31" s="1039">
        <v>0</v>
      </c>
      <c r="T31" s="1042" t="s">
        <v>662</v>
      </c>
    </row>
    <row r="32" spans="2:20" ht="14.25" customHeight="1">
      <c r="B32" s="1467"/>
      <c r="C32" s="420" t="s">
        <v>64</v>
      </c>
      <c r="D32" s="416">
        <v>2.8923403404458568</v>
      </c>
      <c r="E32" s="417">
        <v>1.8941515732291172</v>
      </c>
      <c r="F32" s="417">
        <v>0.19957798756367595</v>
      </c>
      <c r="G32" s="417">
        <v>0</v>
      </c>
      <c r="H32" s="418">
        <v>4.673969429292143</v>
      </c>
      <c r="I32" s="416">
        <v>12.735681445731974</v>
      </c>
      <c r="J32" s="417">
        <v>11.92288010213608</v>
      </c>
      <c r="K32" s="417">
        <v>6.830817490764121</v>
      </c>
      <c r="L32" s="417">
        <v>3.8282605123603104</v>
      </c>
      <c r="M32" s="418">
        <v>3.8622301180915155</v>
      </c>
      <c r="N32" s="396"/>
      <c r="O32" s="1039">
        <v>4.98606990123865</v>
      </c>
      <c r="P32" s="1040">
        <v>4.673969429292143</v>
      </c>
      <c r="Q32" s="1041">
        <v>9.660039330530793</v>
      </c>
      <c r="R32" s="281"/>
      <c r="S32" s="1039">
        <v>39.179869669084</v>
      </c>
      <c r="T32" s="1042">
        <v>3.0558706158943942</v>
      </c>
    </row>
    <row r="33" spans="2:20" ht="14.25" customHeight="1">
      <c r="B33" s="1467"/>
      <c r="C33" s="420" t="s">
        <v>594</v>
      </c>
      <c r="D33" s="416">
        <v>2.0944533499780342</v>
      </c>
      <c r="E33" s="417">
        <v>0.7975375045175231</v>
      </c>
      <c r="F33" s="417">
        <v>0</v>
      </c>
      <c r="G33" s="417">
        <v>0</v>
      </c>
      <c r="H33" s="418">
        <v>2.114414741822636</v>
      </c>
      <c r="I33" s="416">
        <v>2.0164828955742293</v>
      </c>
      <c r="J33" s="417">
        <v>2.4882532387066605</v>
      </c>
      <c r="K33" s="417">
        <v>1.9664474594623982</v>
      </c>
      <c r="L33" s="417">
        <v>1.9658635063471863</v>
      </c>
      <c r="M33" s="418">
        <v>0</v>
      </c>
      <c r="N33" s="396"/>
      <c r="O33" s="1039">
        <v>2.8919908544955573</v>
      </c>
      <c r="P33" s="1040">
        <v>2.114414741822636</v>
      </c>
      <c r="Q33" s="1041">
        <v>5.006405596318193</v>
      </c>
      <c r="R33" s="281"/>
      <c r="S33" s="1039">
        <v>8.437047100090474</v>
      </c>
      <c r="T33" s="1042">
        <v>0.6852504132496259</v>
      </c>
    </row>
    <row r="34" spans="2:20" ht="14.25" customHeight="1">
      <c r="B34" s="1467"/>
      <c r="C34" s="420" t="s">
        <v>595</v>
      </c>
      <c r="D34" s="416">
        <v>0</v>
      </c>
      <c r="E34" s="417">
        <v>0</v>
      </c>
      <c r="F34" s="417">
        <v>0</v>
      </c>
      <c r="G34" s="417">
        <v>0</v>
      </c>
      <c r="H34" s="418">
        <v>0</v>
      </c>
      <c r="I34" s="416">
        <v>0.19526135742886624</v>
      </c>
      <c r="J34" s="417">
        <v>0</v>
      </c>
      <c r="K34" s="417">
        <v>0</v>
      </c>
      <c r="L34" s="417">
        <v>0</v>
      </c>
      <c r="M34" s="418">
        <v>0</v>
      </c>
      <c r="N34" s="396"/>
      <c r="O34" s="1039">
        <v>0</v>
      </c>
      <c r="P34" s="1040">
        <v>0</v>
      </c>
      <c r="Q34" s="1041">
        <v>0</v>
      </c>
      <c r="R34" s="281"/>
      <c r="S34" s="1039">
        <v>0.19526135742886624</v>
      </c>
      <c r="T34" s="1042" t="s">
        <v>662</v>
      </c>
    </row>
    <row r="35" spans="2:20" ht="15.75" thickBot="1">
      <c r="B35" s="422" t="s">
        <v>614</v>
      </c>
      <c r="C35" s="423"/>
      <c r="D35" s="424">
        <v>24.535024956885543</v>
      </c>
      <c r="E35" s="425">
        <v>30.20673298360119</v>
      </c>
      <c r="F35" s="425">
        <v>40.11517550029886</v>
      </c>
      <c r="G35" s="425">
        <v>44.90139553558487</v>
      </c>
      <c r="H35" s="426">
        <v>51.41366372221357</v>
      </c>
      <c r="I35" s="424">
        <v>46.786629313065006</v>
      </c>
      <c r="J35" s="425">
        <v>54.63789403326709</v>
      </c>
      <c r="K35" s="425">
        <v>56.09550121203264</v>
      </c>
      <c r="L35" s="425">
        <v>63.838830706116525</v>
      </c>
      <c r="M35" s="426">
        <v>59.7079899337391</v>
      </c>
      <c r="N35" s="396"/>
      <c r="O35" s="1043">
        <v>94.8569334407856</v>
      </c>
      <c r="P35" s="1044">
        <v>96.31505925779844</v>
      </c>
      <c r="Q35" s="1045">
        <v>191.17199269858406</v>
      </c>
      <c r="R35" s="281"/>
      <c r="S35" s="1043">
        <v>281.06684519822034</v>
      </c>
      <c r="T35" s="1046">
        <v>0.4702302425720443</v>
      </c>
    </row>
    <row r="36" spans="2:20" ht="15">
      <c r="B36" s="427"/>
      <c r="C36" s="427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396"/>
      <c r="O36" s="396"/>
      <c r="P36" s="396"/>
      <c r="Q36" s="396"/>
      <c r="R36" s="429"/>
      <c r="S36" s="429"/>
      <c r="T36" s="429"/>
    </row>
    <row r="37" spans="2:20" ht="14.25"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429"/>
      <c r="S37" s="429"/>
      <c r="T37" s="429"/>
    </row>
    <row r="38" spans="2:20" ht="15">
      <c r="B38" s="394" t="s">
        <v>628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429"/>
      <c r="O38" s="396"/>
      <c r="P38" s="396"/>
      <c r="Q38" s="396"/>
      <c r="R38" s="429"/>
      <c r="S38" s="429"/>
      <c r="T38" s="429"/>
    </row>
    <row r="39" spans="2:20" ht="15" thickBot="1"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281"/>
      <c r="O39" s="396"/>
      <c r="P39" s="396"/>
      <c r="Q39" s="396"/>
      <c r="R39" s="429"/>
      <c r="S39" s="429"/>
      <c r="T39" s="429"/>
    </row>
    <row r="40" spans="2:20" ht="15">
      <c r="B40" s="398" t="s">
        <v>459</v>
      </c>
      <c r="C40" s="399"/>
      <c r="D40" s="401" t="s">
        <v>460</v>
      </c>
      <c r="E40" s="401"/>
      <c r="F40" s="401"/>
      <c r="G40" s="401"/>
      <c r="H40" s="402"/>
      <c r="I40" s="400" t="s">
        <v>461</v>
      </c>
      <c r="J40" s="401"/>
      <c r="K40" s="401"/>
      <c r="L40" s="401"/>
      <c r="M40" s="402"/>
      <c r="N40" s="281"/>
      <c r="O40" s="1028" t="s">
        <v>462</v>
      </c>
      <c r="P40" s="1029"/>
      <c r="Q40" s="1030"/>
      <c r="R40" s="281"/>
      <c r="S40" s="1028" t="s">
        <v>463</v>
      </c>
      <c r="T40" s="1030"/>
    </row>
    <row r="41" spans="2:20" ht="15">
      <c r="B41" s="403"/>
      <c r="C41" s="404"/>
      <c r="D41" s="410" t="s">
        <v>532</v>
      </c>
      <c r="E41" s="406" t="s">
        <v>533</v>
      </c>
      <c r="F41" s="406" t="s">
        <v>529</v>
      </c>
      <c r="G41" s="406" t="s">
        <v>534</v>
      </c>
      <c r="H41" s="407" t="s">
        <v>535</v>
      </c>
      <c r="I41" s="405" t="s">
        <v>464</v>
      </c>
      <c r="J41" s="406" t="s">
        <v>750</v>
      </c>
      <c r="K41" s="406" t="s">
        <v>836</v>
      </c>
      <c r="L41" s="406" t="s">
        <v>837</v>
      </c>
      <c r="M41" s="407" t="s">
        <v>838</v>
      </c>
      <c r="N41" s="281"/>
      <c r="O41" s="1031" t="s">
        <v>490</v>
      </c>
      <c r="P41" s="1032" t="s">
        <v>491</v>
      </c>
      <c r="Q41" s="1033" t="s">
        <v>881</v>
      </c>
      <c r="R41" s="281"/>
      <c r="S41" s="1031" t="s">
        <v>491</v>
      </c>
      <c r="T41" s="1033" t="s">
        <v>625</v>
      </c>
    </row>
    <row r="42" spans="2:20" ht="18">
      <c r="B42" s="408"/>
      <c r="C42" s="409"/>
      <c r="D42" s="410" t="s">
        <v>849</v>
      </c>
      <c r="E42" s="406" t="s">
        <v>849</v>
      </c>
      <c r="F42" s="406" t="s">
        <v>849</v>
      </c>
      <c r="G42" s="406" t="s">
        <v>849</v>
      </c>
      <c r="H42" s="407" t="s">
        <v>849</v>
      </c>
      <c r="I42" s="410" t="s">
        <v>849</v>
      </c>
      <c r="J42" s="406" t="s">
        <v>849</v>
      </c>
      <c r="K42" s="406" t="s">
        <v>849</v>
      </c>
      <c r="L42" s="406" t="s">
        <v>849</v>
      </c>
      <c r="M42" s="407" t="s">
        <v>849</v>
      </c>
      <c r="N42" s="396"/>
      <c r="O42" s="1034"/>
      <c r="P42" s="1035"/>
      <c r="Q42" s="1036"/>
      <c r="R42" s="281"/>
      <c r="S42" s="1037"/>
      <c r="T42" s="1038"/>
    </row>
    <row r="43" spans="2:20" ht="14.25" customHeight="1">
      <c r="B43" s="1465" t="s">
        <v>714</v>
      </c>
      <c r="C43" s="411" t="s">
        <v>715</v>
      </c>
      <c r="D43" s="430">
        <v>0.29920762142543345</v>
      </c>
      <c r="E43" s="430">
        <v>0.29907656419407114</v>
      </c>
      <c r="F43" s="430">
        <v>1.0976789316002178</v>
      </c>
      <c r="G43" s="430">
        <v>4.021020495724018</v>
      </c>
      <c r="H43" s="431">
        <v>2.3369847146460714</v>
      </c>
      <c r="I43" s="432">
        <v>1.9103522168597962</v>
      </c>
      <c r="J43" s="433">
        <v>1.8661899290299955</v>
      </c>
      <c r="K43" s="433">
        <v>1.8629502247538514</v>
      </c>
      <c r="L43" s="433">
        <v>1.9658635063471863</v>
      </c>
      <c r="M43" s="434">
        <v>1.983307357938886</v>
      </c>
      <c r="N43" s="396"/>
      <c r="O43" s="1039">
        <v>1.6959631172197223</v>
      </c>
      <c r="P43" s="1040">
        <v>6.35800521037009</v>
      </c>
      <c r="Q43" s="1041">
        <v>8.053968327589812</v>
      </c>
      <c r="R43" s="281"/>
      <c r="S43" s="1039">
        <v>9.588663234929715</v>
      </c>
      <c r="T43" s="1042">
        <v>0.19055139589792344</v>
      </c>
    </row>
    <row r="44" spans="2:20" ht="14.25" customHeight="1">
      <c r="B44" s="1466"/>
      <c r="C44" s="415" t="s">
        <v>716</v>
      </c>
      <c r="D44" s="435">
        <v>1.6955098547441227</v>
      </c>
      <c r="E44" s="435">
        <v>2.292920325487879</v>
      </c>
      <c r="F44" s="435">
        <v>3.492614782364329</v>
      </c>
      <c r="G44" s="435">
        <v>0.22339002754022322</v>
      </c>
      <c r="H44" s="436">
        <v>0.667709918470306</v>
      </c>
      <c r="I44" s="437">
        <v>1.2735681445731974</v>
      </c>
      <c r="J44" s="438">
        <v>1.3478038376327743</v>
      </c>
      <c r="K44" s="438">
        <v>1.4489612859196621</v>
      </c>
      <c r="L44" s="438">
        <v>1.6554640053449992</v>
      </c>
      <c r="M44" s="439">
        <v>1.7745381623663716</v>
      </c>
      <c r="N44" s="396"/>
      <c r="O44" s="1039">
        <v>7.4810449625963304</v>
      </c>
      <c r="P44" s="1040">
        <v>0.8910999460105292</v>
      </c>
      <c r="Q44" s="1041">
        <v>8.37214490860686</v>
      </c>
      <c r="R44" s="281"/>
      <c r="S44" s="1039">
        <v>7.5003354358370045</v>
      </c>
      <c r="T44" s="1042">
        <v>-0.10413215278603268</v>
      </c>
    </row>
    <row r="45" spans="2:20" ht="14.25" customHeight="1">
      <c r="B45" s="1466" t="s">
        <v>599</v>
      </c>
      <c r="C45" s="415" t="s">
        <v>715</v>
      </c>
      <c r="D45" s="435">
        <v>0</v>
      </c>
      <c r="E45" s="435">
        <v>0</v>
      </c>
      <c r="F45" s="435">
        <v>0</v>
      </c>
      <c r="G45" s="435">
        <v>0</v>
      </c>
      <c r="H45" s="436">
        <v>0</v>
      </c>
      <c r="I45" s="437">
        <v>0</v>
      </c>
      <c r="J45" s="438">
        <v>0</v>
      </c>
      <c r="K45" s="438">
        <v>0</v>
      </c>
      <c r="L45" s="438">
        <v>0</v>
      </c>
      <c r="M45" s="439">
        <v>0</v>
      </c>
      <c r="N45" s="396"/>
      <c r="O45" s="1039">
        <v>0</v>
      </c>
      <c r="P45" s="1040">
        <v>0</v>
      </c>
      <c r="Q45" s="1041">
        <v>0</v>
      </c>
      <c r="R45" s="281"/>
      <c r="S45" s="1039">
        <v>0</v>
      </c>
      <c r="T45" s="1042" t="s">
        <v>662</v>
      </c>
    </row>
    <row r="46" spans="2:20" ht="14.25" customHeight="1">
      <c r="B46" s="1466"/>
      <c r="C46" s="415" t="s">
        <v>716</v>
      </c>
      <c r="D46" s="435">
        <v>0</v>
      </c>
      <c r="E46" s="438">
        <v>0</v>
      </c>
      <c r="F46" s="438">
        <v>0</v>
      </c>
      <c r="G46" s="438">
        <v>0</v>
      </c>
      <c r="H46" s="439">
        <v>0</v>
      </c>
      <c r="I46" s="437">
        <v>0</v>
      </c>
      <c r="J46" s="438">
        <v>0</v>
      </c>
      <c r="K46" s="438">
        <v>0</v>
      </c>
      <c r="L46" s="438">
        <v>0</v>
      </c>
      <c r="M46" s="439">
        <v>0</v>
      </c>
      <c r="N46" s="396"/>
      <c r="O46" s="1039">
        <v>0</v>
      </c>
      <c r="P46" s="1040">
        <v>0</v>
      </c>
      <c r="Q46" s="1041">
        <v>0</v>
      </c>
      <c r="R46" s="281"/>
      <c r="S46" s="1039">
        <v>0</v>
      </c>
      <c r="T46" s="1042" t="s">
        <v>662</v>
      </c>
    </row>
    <row r="47" spans="2:20" ht="14.25" customHeight="1">
      <c r="B47" s="1467" t="s">
        <v>695</v>
      </c>
      <c r="C47" s="415" t="s">
        <v>743</v>
      </c>
      <c r="D47" s="440">
        <v>0.39894349523391126</v>
      </c>
      <c r="E47" s="441">
        <v>0.49846094032345195</v>
      </c>
      <c r="F47" s="441">
        <v>0.6985229564728659</v>
      </c>
      <c r="G47" s="441">
        <v>4.914580605884911</v>
      </c>
      <c r="H47" s="442">
        <v>4.785254415703861</v>
      </c>
      <c r="I47" s="443">
        <v>1.2735681445731974</v>
      </c>
      <c r="J47" s="441">
        <v>1.2441266193533302</v>
      </c>
      <c r="K47" s="441">
        <v>1.3454640512111147</v>
      </c>
      <c r="L47" s="441">
        <v>1.3450645043428118</v>
      </c>
      <c r="M47" s="442">
        <v>1.3569997712213433</v>
      </c>
      <c r="N47" s="396"/>
      <c r="O47" s="1039">
        <v>1.595927392030229</v>
      </c>
      <c r="P47" s="1040">
        <v>9.699835021588772</v>
      </c>
      <c r="Q47" s="1041">
        <v>11.295762413619002</v>
      </c>
      <c r="R47" s="281"/>
      <c r="S47" s="1039">
        <v>6.565223090701798</v>
      </c>
      <c r="T47" s="1042">
        <v>-0.4187888475074262</v>
      </c>
    </row>
    <row r="48" spans="2:20" ht="14.25" customHeight="1">
      <c r="B48" s="1467"/>
      <c r="C48" s="415" t="s">
        <v>744</v>
      </c>
      <c r="D48" s="435">
        <v>1.3963022333186894</v>
      </c>
      <c r="E48" s="438">
        <v>2.392612513552569</v>
      </c>
      <c r="F48" s="438">
        <v>3.8917707574916807</v>
      </c>
      <c r="G48" s="438">
        <v>0.22339002754022322</v>
      </c>
      <c r="H48" s="439">
        <v>0.667709918470306</v>
      </c>
      <c r="I48" s="437">
        <v>0.849045429715465</v>
      </c>
      <c r="J48" s="438">
        <v>0.8294177462355535</v>
      </c>
      <c r="K48" s="438">
        <v>1.1384695817940202</v>
      </c>
      <c r="L48" s="438">
        <v>1.4485310046768742</v>
      </c>
      <c r="M48" s="439">
        <v>1.6701535645801149</v>
      </c>
      <c r="N48" s="444"/>
      <c r="O48" s="1039">
        <v>7.680685504362939</v>
      </c>
      <c r="P48" s="1040">
        <v>0.8910999460105292</v>
      </c>
      <c r="Q48" s="1041">
        <v>8.571785450373469</v>
      </c>
      <c r="R48" s="281"/>
      <c r="S48" s="1039">
        <v>5.935617327002028</v>
      </c>
      <c r="T48" s="1042">
        <v>-0.30754014302312993</v>
      </c>
    </row>
    <row r="49" spans="2:20" ht="14.25" customHeight="1">
      <c r="B49" s="1467"/>
      <c r="C49" s="419" t="s">
        <v>64</v>
      </c>
      <c r="D49" s="435">
        <v>0.19947174761695563</v>
      </c>
      <c r="E49" s="438">
        <v>0.29907656419407114</v>
      </c>
      <c r="F49" s="438">
        <v>0.3991559751273519</v>
      </c>
      <c r="G49" s="438">
        <v>0.11169501377011161</v>
      </c>
      <c r="H49" s="439">
        <v>0.667709918470306</v>
      </c>
      <c r="I49" s="437">
        <v>0.4245227148577325</v>
      </c>
      <c r="J49" s="438">
        <v>0.5183860913972209</v>
      </c>
      <c r="K49" s="438">
        <v>0.6209834082512837</v>
      </c>
      <c r="L49" s="438">
        <v>0.7242655023384371</v>
      </c>
      <c r="M49" s="439">
        <v>0.8350767822900574</v>
      </c>
      <c r="N49" s="444"/>
      <c r="O49" s="1039">
        <v>0.8977042869383787</v>
      </c>
      <c r="P49" s="1040">
        <v>0.7794049322404176</v>
      </c>
      <c r="Q49" s="1041">
        <v>1.6771092191787962</v>
      </c>
      <c r="R49" s="281"/>
      <c r="S49" s="1039">
        <v>3.123234499134732</v>
      </c>
      <c r="T49" s="1042">
        <v>0.8622725720057977</v>
      </c>
    </row>
    <row r="50" spans="2:20" ht="14.25" customHeight="1">
      <c r="B50" s="1467" t="s">
        <v>874</v>
      </c>
      <c r="C50" s="415" t="s">
        <v>65</v>
      </c>
      <c r="D50" s="440">
        <v>2.6928685928289013</v>
      </c>
      <c r="E50" s="441">
        <v>2.6916890777466405</v>
      </c>
      <c r="F50" s="441">
        <v>2.694302832109625</v>
      </c>
      <c r="G50" s="441">
        <v>11.616281432091608</v>
      </c>
      <c r="H50" s="442">
        <v>10.126933763466308</v>
      </c>
      <c r="I50" s="443">
        <v>6.367840722865988</v>
      </c>
      <c r="J50" s="441">
        <v>5.805924223648875</v>
      </c>
      <c r="K50" s="441">
        <v>5.485353439553006</v>
      </c>
      <c r="L50" s="441">
        <v>5.173325016703122</v>
      </c>
      <c r="M50" s="442">
        <v>5.114845291526601</v>
      </c>
      <c r="N50" s="396"/>
      <c r="O50" s="1039">
        <v>8.078860502685167</v>
      </c>
      <c r="P50" s="1040">
        <v>21.743215195557916</v>
      </c>
      <c r="Q50" s="1041">
        <v>29.822075698243083</v>
      </c>
      <c r="R50" s="281"/>
      <c r="S50" s="1039">
        <v>27.94728869429759</v>
      </c>
      <c r="T50" s="1042">
        <v>-0.0628657449238499</v>
      </c>
    </row>
    <row r="51" spans="2:20" ht="14.25" customHeight="1">
      <c r="B51" s="1467"/>
      <c r="C51" s="415" t="s">
        <v>612</v>
      </c>
      <c r="D51" s="435">
        <v>1.4960381071271673</v>
      </c>
      <c r="E51" s="438">
        <v>1.9938437612938078</v>
      </c>
      <c r="F51" s="438">
        <v>3.0934588072369773</v>
      </c>
      <c r="G51" s="438">
        <v>0.5584750688505581</v>
      </c>
      <c r="H51" s="439">
        <v>1.001564877705459</v>
      </c>
      <c r="I51" s="437">
        <v>1.0613067871443311</v>
      </c>
      <c r="J51" s="438">
        <v>1.140449401073886</v>
      </c>
      <c r="K51" s="438">
        <v>1.2419668165025675</v>
      </c>
      <c r="L51" s="438">
        <v>1.2415980040087493</v>
      </c>
      <c r="M51" s="439">
        <v>1.4613843690076003</v>
      </c>
      <c r="N51" s="396"/>
      <c r="O51" s="1039">
        <v>6.5833406756579524</v>
      </c>
      <c r="P51" s="1040">
        <v>1.5600399465560173</v>
      </c>
      <c r="Q51" s="1041">
        <v>8.14338062221397</v>
      </c>
      <c r="R51" s="281"/>
      <c r="S51" s="1039">
        <v>6.146705377737134</v>
      </c>
      <c r="T51" s="1042">
        <v>-0.2451899692653679</v>
      </c>
    </row>
    <row r="52" spans="2:20" ht="14.25" customHeight="1">
      <c r="B52" s="1467"/>
      <c r="C52" s="419" t="s">
        <v>619</v>
      </c>
      <c r="D52" s="435">
        <v>0</v>
      </c>
      <c r="E52" s="438">
        <v>0</v>
      </c>
      <c r="F52" s="438">
        <v>0</v>
      </c>
      <c r="G52" s="438">
        <v>0</v>
      </c>
      <c r="H52" s="439">
        <v>0</v>
      </c>
      <c r="I52" s="437">
        <v>0</v>
      </c>
      <c r="J52" s="438">
        <v>0</v>
      </c>
      <c r="K52" s="438">
        <v>0</v>
      </c>
      <c r="L52" s="438">
        <v>0</v>
      </c>
      <c r="M52" s="439">
        <v>0</v>
      </c>
      <c r="N52" s="396"/>
      <c r="O52" s="1039">
        <v>0</v>
      </c>
      <c r="P52" s="1040">
        <v>0</v>
      </c>
      <c r="Q52" s="1041">
        <v>0</v>
      </c>
      <c r="R52" s="281"/>
      <c r="S52" s="1039">
        <v>0</v>
      </c>
      <c r="T52" s="1042" t="s">
        <v>662</v>
      </c>
    </row>
    <row r="53" spans="2:20" ht="14.25" customHeight="1">
      <c r="B53" s="1467"/>
      <c r="C53" s="419" t="s">
        <v>64</v>
      </c>
      <c r="D53" s="435">
        <v>3.2912838356797676</v>
      </c>
      <c r="E53" s="438">
        <v>5.483070343557971</v>
      </c>
      <c r="F53" s="438">
        <v>5.588183651782926</v>
      </c>
      <c r="G53" s="438">
        <v>3.4625454268734597</v>
      </c>
      <c r="H53" s="439">
        <v>5.119109374939012</v>
      </c>
      <c r="I53" s="437">
        <v>6.155579365437121</v>
      </c>
      <c r="J53" s="438">
        <v>6.946373624722761</v>
      </c>
      <c r="K53" s="438">
        <v>7.451800899015406</v>
      </c>
      <c r="L53" s="438">
        <v>8.380786527059056</v>
      </c>
      <c r="M53" s="439">
        <v>7.620075638396773</v>
      </c>
      <c r="N53" s="396"/>
      <c r="O53" s="1039">
        <v>14.362537831020664</v>
      </c>
      <c r="P53" s="1040">
        <v>8.581654801812473</v>
      </c>
      <c r="Q53" s="1041">
        <v>22.944192632833133</v>
      </c>
      <c r="R53" s="281"/>
      <c r="S53" s="1039">
        <v>36.55461605463111</v>
      </c>
      <c r="T53" s="1042">
        <v>0.5931968772926648</v>
      </c>
    </row>
    <row r="54" spans="2:20" ht="14.25" customHeight="1">
      <c r="B54" s="1467"/>
      <c r="C54" s="415" t="s">
        <v>594</v>
      </c>
      <c r="D54" s="435">
        <v>0</v>
      </c>
      <c r="E54" s="438">
        <v>0.39876875225876157</v>
      </c>
      <c r="F54" s="438">
        <v>0.4989449689091899</v>
      </c>
      <c r="G54" s="438">
        <v>0.3350850413103348</v>
      </c>
      <c r="H54" s="439">
        <v>1.4467048233523299</v>
      </c>
      <c r="I54" s="437">
        <v>0.849045429715465</v>
      </c>
      <c r="J54" s="438">
        <v>0.9330949645149977</v>
      </c>
      <c r="K54" s="438">
        <v>1.0349723470854728</v>
      </c>
      <c r="L54" s="438">
        <v>1.2415980040087493</v>
      </c>
      <c r="M54" s="439">
        <v>1.4613843690076003</v>
      </c>
      <c r="N54" s="396"/>
      <c r="O54" s="1039">
        <v>0.8977137211679515</v>
      </c>
      <c r="P54" s="1040">
        <v>1.7817898646626646</v>
      </c>
      <c r="Q54" s="1041">
        <v>2.679503585830616</v>
      </c>
      <c r="R54" s="281"/>
      <c r="S54" s="1039">
        <v>5.520095114332285</v>
      </c>
      <c r="T54" s="1042">
        <v>1.0601185770091508</v>
      </c>
    </row>
    <row r="55" spans="2:20" ht="14.25" customHeight="1">
      <c r="B55" s="1467"/>
      <c r="C55" s="415" t="s">
        <v>595</v>
      </c>
      <c r="D55" s="435">
        <v>0.6981511166593447</v>
      </c>
      <c r="E55" s="438">
        <v>1.9938437612938078</v>
      </c>
      <c r="F55" s="438">
        <v>1.8959908818549214</v>
      </c>
      <c r="G55" s="438">
        <v>1.228645151471228</v>
      </c>
      <c r="H55" s="439">
        <v>2.225699728234354</v>
      </c>
      <c r="I55" s="437">
        <v>0.9551761084298981</v>
      </c>
      <c r="J55" s="438">
        <v>0.9330949645149977</v>
      </c>
      <c r="K55" s="438">
        <v>0.9314751123769257</v>
      </c>
      <c r="L55" s="438">
        <v>0.9311985030065622</v>
      </c>
      <c r="M55" s="439">
        <v>0.9394613800763145</v>
      </c>
      <c r="N55" s="396"/>
      <c r="O55" s="1039">
        <v>4.587985759808074</v>
      </c>
      <c r="P55" s="1040">
        <v>3.454344879705582</v>
      </c>
      <c r="Q55" s="1041">
        <v>8.042330639513656</v>
      </c>
      <c r="R55" s="281"/>
      <c r="S55" s="1039">
        <v>4.690406068404698</v>
      </c>
      <c r="T55" s="1042">
        <v>-0.4167852232585726</v>
      </c>
    </row>
    <row r="56" spans="2:20" ht="14.25" customHeight="1">
      <c r="B56" s="1467" t="s">
        <v>880</v>
      </c>
      <c r="C56" s="415" t="s">
        <v>65</v>
      </c>
      <c r="D56" s="440">
        <v>0.09973587380847782</v>
      </c>
      <c r="E56" s="441">
        <v>0.49846094032345195</v>
      </c>
      <c r="F56" s="441">
        <v>0.9978899378183798</v>
      </c>
      <c r="G56" s="441">
        <v>3.4625454268734597</v>
      </c>
      <c r="H56" s="442">
        <v>0.8902798912937414</v>
      </c>
      <c r="I56" s="443">
        <v>2.0164828955742293</v>
      </c>
      <c r="J56" s="441">
        <v>6.427987533325539</v>
      </c>
      <c r="K56" s="441">
        <v>2.3804363982965873</v>
      </c>
      <c r="L56" s="441">
        <v>12.209047039419369</v>
      </c>
      <c r="M56" s="442">
        <v>7.411306442824259</v>
      </c>
      <c r="N56" s="396"/>
      <c r="O56" s="1039">
        <v>1.5960867519503097</v>
      </c>
      <c r="P56" s="1040">
        <v>4.352825318167201</v>
      </c>
      <c r="Q56" s="1041">
        <v>5.948912070117511</v>
      </c>
      <c r="R56" s="281"/>
      <c r="S56" s="1039">
        <v>30.445260309439984</v>
      </c>
      <c r="T56" s="1042">
        <v>4.117786235633264</v>
      </c>
    </row>
    <row r="57" spans="2:20" ht="14.25" customHeight="1">
      <c r="B57" s="1467"/>
      <c r="C57" s="415" t="s">
        <v>612</v>
      </c>
      <c r="D57" s="435">
        <v>1.4960381071271673</v>
      </c>
      <c r="E57" s="438">
        <v>1.3956906329056653</v>
      </c>
      <c r="F57" s="438">
        <v>1.8959908818549214</v>
      </c>
      <c r="G57" s="438">
        <v>0</v>
      </c>
      <c r="H57" s="439">
        <v>1.112849864117177</v>
      </c>
      <c r="I57" s="437">
        <v>0</v>
      </c>
      <c r="J57" s="438">
        <v>0</v>
      </c>
      <c r="K57" s="438">
        <v>5.0713645007188175</v>
      </c>
      <c r="L57" s="438">
        <v>3.1039950100218734</v>
      </c>
      <c r="M57" s="439">
        <v>0</v>
      </c>
      <c r="N57" s="396"/>
      <c r="O57" s="1039">
        <v>4.787719621887755</v>
      </c>
      <c r="P57" s="1040">
        <v>1.112849864117177</v>
      </c>
      <c r="Q57" s="1041">
        <v>5.900569486004931</v>
      </c>
      <c r="R57" s="281"/>
      <c r="S57" s="1039">
        <v>8.175359510740691</v>
      </c>
      <c r="T57" s="1042">
        <v>0.3855204197037497</v>
      </c>
    </row>
    <row r="58" spans="2:20" ht="14.25" customHeight="1">
      <c r="B58" s="1467"/>
      <c r="C58" s="415" t="s">
        <v>619</v>
      </c>
      <c r="D58" s="435">
        <v>0</v>
      </c>
      <c r="E58" s="438">
        <v>0</v>
      </c>
      <c r="F58" s="438">
        <v>0</v>
      </c>
      <c r="G58" s="438">
        <v>0</v>
      </c>
      <c r="H58" s="439">
        <v>0</v>
      </c>
      <c r="I58" s="437">
        <v>0</v>
      </c>
      <c r="J58" s="438">
        <v>0</v>
      </c>
      <c r="K58" s="438">
        <v>0</v>
      </c>
      <c r="L58" s="438">
        <v>0</v>
      </c>
      <c r="M58" s="439">
        <v>0</v>
      </c>
      <c r="N58" s="396"/>
      <c r="O58" s="1039">
        <v>0</v>
      </c>
      <c r="P58" s="1040">
        <v>0</v>
      </c>
      <c r="Q58" s="1041">
        <v>0</v>
      </c>
      <c r="R58" s="281"/>
      <c r="S58" s="1039">
        <v>0</v>
      </c>
      <c r="T58" s="1042" t="s">
        <v>662</v>
      </c>
    </row>
    <row r="59" spans="2:20" ht="14.25" customHeight="1">
      <c r="B59" s="1467"/>
      <c r="C59" s="415" t="s">
        <v>64</v>
      </c>
      <c r="D59" s="435">
        <v>0.29920762142543345</v>
      </c>
      <c r="E59" s="438">
        <v>0.7975375045175231</v>
      </c>
      <c r="F59" s="438">
        <v>1.0976789316002178</v>
      </c>
      <c r="G59" s="438">
        <v>1.0052551239310046</v>
      </c>
      <c r="H59" s="439">
        <v>0.8902798912937414</v>
      </c>
      <c r="I59" s="437">
        <v>1.5919601807164967</v>
      </c>
      <c r="J59" s="438">
        <v>2.5919304569861046</v>
      </c>
      <c r="K59" s="438">
        <v>4.7608727965931745</v>
      </c>
      <c r="L59" s="438">
        <v>3.8282605123603104</v>
      </c>
      <c r="M59" s="439">
        <v>6.784998856106715</v>
      </c>
      <c r="N59" s="396"/>
      <c r="O59" s="1039">
        <v>2.1944240575431744</v>
      </c>
      <c r="P59" s="1040">
        <v>1.895535015224746</v>
      </c>
      <c r="Q59" s="1041">
        <v>4.08995907276792</v>
      </c>
      <c r="R59" s="281"/>
      <c r="S59" s="1039">
        <v>19.558022802762803</v>
      </c>
      <c r="T59" s="1042">
        <v>3.781960517156647</v>
      </c>
    </row>
    <row r="60" spans="2:20" ht="14.25" customHeight="1">
      <c r="B60" s="1467"/>
      <c r="C60" s="415" t="s">
        <v>594</v>
      </c>
      <c r="D60" s="435">
        <v>0.09973587380847782</v>
      </c>
      <c r="E60" s="438">
        <v>0.39876875225876157</v>
      </c>
      <c r="F60" s="438">
        <v>0.19957798756367595</v>
      </c>
      <c r="G60" s="438">
        <v>0.3350850413103348</v>
      </c>
      <c r="H60" s="439">
        <v>0.22256997282343535</v>
      </c>
      <c r="I60" s="437">
        <v>0.5306533935721656</v>
      </c>
      <c r="J60" s="438">
        <v>1.658835492471107</v>
      </c>
      <c r="K60" s="438">
        <v>2.483933633005135</v>
      </c>
      <c r="L60" s="438">
        <v>2.4831960080174986</v>
      </c>
      <c r="M60" s="439">
        <v>0.5219229889312859</v>
      </c>
      <c r="N60" s="396"/>
      <c r="O60" s="1039">
        <v>0.6980826136309153</v>
      </c>
      <c r="P60" s="1040">
        <v>0.5576550141337702</v>
      </c>
      <c r="Q60" s="1041">
        <v>1.2557376277646854</v>
      </c>
      <c r="R60" s="281"/>
      <c r="S60" s="1039">
        <v>7.678541515997192</v>
      </c>
      <c r="T60" s="1042">
        <v>5.11476581271648</v>
      </c>
    </row>
    <row r="61" spans="2:20" ht="14.25" customHeight="1">
      <c r="B61" s="1467"/>
      <c r="C61" s="420" t="s">
        <v>595</v>
      </c>
      <c r="D61" s="435">
        <v>0.19947174761695563</v>
      </c>
      <c r="E61" s="438">
        <v>1.495382820970356</v>
      </c>
      <c r="F61" s="438">
        <v>0.9978899378183798</v>
      </c>
      <c r="G61" s="438">
        <v>2.2339002754022323</v>
      </c>
      <c r="H61" s="439">
        <v>2.225699728234354</v>
      </c>
      <c r="I61" s="437">
        <v>0.31839203614329936</v>
      </c>
      <c r="J61" s="438">
        <v>0.10367721827944419</v>
      </c>
      <c r="K61" s="438">
        <v>0.2069944694170946</v>
      </c>
      <c r="L61" s="438">
        <v>0.10346650033406245</v>
      </c>
      <c r="M61" s="439">
        <v>0.20876919557251436</v>
      </c>
      <c r="N61" s="396"/>
      <c r="O61" s="1039">
        <v>2.6927445064056914</v>
      </c>
      <c r="P61" s="1040">
        <v>4.459600003636586</v>
      </c>
      <c r="Q61" s="1041">
        <v>7.152344510042278</v>
      </c>
      <c r="R61" s="281"/>
      <c r="S61" s="1039">
        <v>0.9412994197464151</v>
      </c>
      <c r="T61" s="1042">
        <v>-0.8683928859376419</v>
      </c>
    </row>
    <row r="62" spans="2:20" ht="14.25" customHeight="1">
      <c r="B62" s="1467" t="s">
        <v>878</v>
      </c>
      <c r="C62" s="421" t="s">
        <v>65</v>
      </c>
      <c r="D62" s="440">
        <v>0.7978869904678225</v>
      </c>
      <c r="E62" s="441">
        <v>0.8972296925822135</v>
      </c>
      <c r="F62" s="441">
        <v>7.783541514983361</v>
      </c>
      <c r="G62" s="441">
        <v>8.37712603275837</v>
      </c>
      <c r="H62" s="442">
        <v>6.899669157526496</v>
      </c>
      <c r="I62" s="443">
        <v>2.7593976465752608</v>
      </c>
      <c r="J62" s="441">
        <v>0</v>
      </c>
      <c r="K62" s="441">
        <v>0.7244806429598311</v>
      </c>
      <c r="L62" s="441">
        <v>0</v>
      </c>
      <c r="M62" s="442">
        <v>4.384153107022802</v>
      </c>
      <c r="N62" s="396"/>
      <c r="O62" s="1039">
        <v>9.478658198033397</v>
      </c>
      <c r="P62" s="1040">
        <v>15.276795190284867</v>
      </c>
      <c r="Q62" s="1041">
        <v>24.755453388318266</v>
      </c>
      <c r="R62" s="281"/>
      <c r="S62" s="1039">
        <v>7.868031396557893</v>
      </c>
      <c r="T62" s="1042">
        <v>-0.6821697719230341</v>
      </c>
    </row>
    <row r="63" spans="2:20" ht="14.25" customHeight="1">
      <c r="B63" s="1467"/>
      <c r="C63" s="415" t="s">
        <v>612</v>
      </c>
      <c r="D63" s="435">
        <v>2.9920762142543347</v>
      </c>
      <c r="E63" s="438">
        <v>0.29907656419407114</v>
      </c>
      <c r="F63" s="438">
        <v>0</v>
      </c>
      <c r="G63" s="438">
        <v>0</v>
      </c>
      <c r="H63" s="439">
        <v>0.5564249320585885</v>
      </c>
      <c r="I63" s="437">
        <v>1.2735681445731974</v>
      </c>
      <c r="J63" s="438">
        <v>5.702247005369429</v>
      </c>
      <c r="K63" s="438">
        <v>6.830817490764121</v>
      </c>
      <c r="L63" s="438">
        <v>9.829317531735931</v>
      </c>
      <c r="M63" s="439">
        <v>9.91653678969443</v>
      </c>
      <c r="N63" s="396"/>
      <c r="O63" s="1039">
        <v>3.2911527784484056</v>
      </c>
      <c r="P63" s="1040">
        <v>0.5564249320585885</v>
      </c>
      <c r="Q63" s="1041">
        <v>3.847577710506994</v>
      </c>
      <c r="R63" s="281"/>
      <c r="S63" s="1039">
        <v>33.55248696213711</v>
      </c>
      <c r="T63" s="1042">
        <v>7.720418270048641</v>
      </c>
    </row>
    <row r="64" spans="2:20" ht="14.25" customHeight="1">
      <c r="B64" s="1467"/>
      <c r="C64" s="420" t="s">
        <v>613</v>
      </c>
      <c r="D64" s="435">
        <v>0</v>
      </c>
      <c r="E64" s="438">
        <v>0</v>
      </c>
      <c r="F64" s="438">
        <v>0</v>
      </c>
      <c r="G64" s="438">
        <v>0</v>
      </c>
      <c r="H64" s="439">
        <v>0</v>
      </c>
      <c r="I64" s="437">
        <v>0</v>
      </c>
      <c r="J64" s="438">
        <v>0</v>
      </c>
      <c r="K64" s="438">
        <v>0</v>
      </c>
      <c r="L64" s="438">
        <v>0</v>
      </c>
      <c r="M64" s="439">
        <v>0</v>
      </c>
      <c r="N64" s="396"/>
      <c r="O64" s="1039">
        <v>0</v>
      </c>
      <c r="P64" s="1040">
        <v>0</v>
      </c>
      <c r="Q64" s="1041">
        <v>0</v>
      </c>
      <c r="R64" s="281"/>
      <c r="S64" s="1039">
        <v>0</v>
      </c>
      <c r="T64" s="1042" t="s">
        <v>662</v>
      </c>
    </row>
    <row r="65" spans="2:20" ht="14.25" customHeight="1">
      <c r="B65" s="1467"/>
      <c r="C65" s="420" t="s">
        <v>64</v>
      </c>
      <c r="D65" s="435">
        <v>2.8923403404458568</v>
      </c>
      <c r="E65" s="438">
        <v>1.8941515732291172</v>
      </c>
      <c r="F65" s="438">
        <v>0.19957798756367595</v>
      </c>
      <c r="G65" s="438">
        <v>0</v>
      </c>
      <c r="H65" s="439">
        <v>4.673969429292143</v>
      </c>
      <c r="I65" s="437">
        <v>12.735681445731974</v>
      </c>
      <c r="J65" s="438">
        <v>11.92288010213608</v>
      </c>
      <c r="K65" s="438">
        <v>6.830817490764121</v>
      </c>
      <c r="L65" s="438">
        <v>3.8282605123603104</v>
      </c>
      <c r="M65" s="439">
        <v>3.8622301180915155</v>
      </c>
      <c r="N65" s="396"/>
      <c r="O65" s="1039">
        <v>4.98606990123865</v>
      </c>
      <c r="P65" s="1040">
        <v>4.673969429292143</v>
      </c>
      <c r="Q65" s="1041">
        <v>9.660039330530793</v>
      </c>
      <c r="R65" s="281"/>
      <c r="S65" s="1039">
        <v>39.179869669084</v>
      </c>
      <c r="T65" s="1042">
        <v>3.0558706158943942</v>
      </c>
    </row>
    <row r="66" spans="2:20" ht="14.25" customHeight="1">
      <c r="B66" s="1467"/>
      <c r="C66" s="420" t="s">
        <v>594</v>
      </c>
      <c r="D66" s="435">
        <v>2.0944533499780342</v>
      </c>
      <c r="E66" s="438">
        <v>0.7975375045175231</v>
      </c>
      <c r="F66" s="438">
        <v>0</v>
      </c>
      <c r="G66" s="438">
        <v>0</v>
      </c>
      <c r="H66" s="439">
        <v>2.114414741822636</v>
      </c>
      <c r="I66" s="437">
        <v>2.0164828955742293</v>
      </c>
      <c r="J66" s="438">
        <v>2.4882532387066605</v>
      </c>
      <c r="K66" s="438">
        <v>1.9664474594623982</v>
      </c>
      <c r="L66" s="438">
        <v>1.9658635063471863</v>
      </c>
      <c r="M66" s="439">
        <v>0</v>
      </c>
      <c r="N66" s="396"/>
      <c r="O66" s="1039">
        <v>2.8919908544955573</v>
      </c>
      <c r="P66" s="1040">
        <v>2.114414741822636</v>
      </c>
      <c r="Q66" s="1041">
        <v>5.006405596318193</v>
      </c>
      <c r="R66" s="281"/>
      <c r="S66" s="1039">
        <v>8.437047100090474</v>
      </c>
      <c r="T66" s="1042">
        <v>0.6852504132496259</v>
      </c>
    </row>
    <row r="67" spans="2:20" ht="15" customHeight="1" thickBot="1">
      <c r="B67" s="1472"/>
      <c r="C67" s="445" t="s">
        <v>595</v>
      </c>
      <c r="D67" s="446">
        <v>0</v>
      </c>
      <c r="E67" s="447">
        <v>0</v>
      </c>
      <c r="F67" s="447">
        <v>0</v>
      </c>
      <c r="G67" s="447">
        <v>0</v>
      </c>
      <c r="H67" s="448">
        <v>0</v>
      </c>
      <c r="I67" s="449">
        <v>0.19526135742886624</v>
      </c>
      <c r="J67" s="447">
        <v>0</v>
      </c>
      <c r="K67" s="447">
        <v>0</v>
      </c>
      <c r="L67" s="447">
        <v>0</v>
      </c>
      <c r="M67" s="448">
        <v>0</v>
      </c>
      <c r="N67" s="396"/>
      <c r="O67" s="1039">
        <v>0</v>
      </c>
      <c r="P67" s="1040">
        <v>0</v>
      </c>
      <c r="Q67" s="1041">
        <v>0</v>
      </c>
      <c r="R67" s="281"/>
      <c r="S67" s="1039">
        <v>0.19526135742886624</v>
      </c>
      <c r="T67" s="1042" t="s">
        <v>662</v>
      </c>
    </row>
    <row r="68" spans="2:20" ht="15.75" thickBot="1">
      <c r="B68" s="450" t="s">
        <v>334</v>
      </c>
      <c r="C68" s="451"/>
      <c r="D68" s="452">
        <v>23.138722723566854</v>
      </c>
      <c r="E68" s="453">
        <v>26.817198589401716</v>
      </c>
      <c r="F68" s="453">
        <v>36.5227717241527</v>
      </c>
      <c r="G68" s="453">
        <v>42.10902019133208</v>
      </c>
      <c r="H68" s="454">
        <v>48.63153906192063</v>
      </c>
      <c r="I68" s="455">
        <v>44.55788506006191</v>
      </c>
      <c r="J68" s="453">
        <v>52.46067244939876</v>
      </c>
      <c r="K68" s="453">
        <v>53.8185620484446</v>
      </c>
      <c r="L68" s="453">
        <v>61.45910119843309</v>
      </c>
      <c r="M68" s="454">
        <v>57.307144184655186</v>
      </c>
      <c r="N68" s="396"/>
      <c r="O68" s="1043">
        <v>86.47869303712127</v>
      </c>
      <c r="P68" s="1044">
        <v>90.74055925325271</v>
      </c>
      <c r="Q68" s="1045">
        <v>177.219252290374</v>
      </c>
      <c r="R68" s="281"/>
      <c r="S68" s="1043">
        <v>269.6033649409935</v>
      </c>
      <c r="T68" s="1046">
        <v>0.521298399900977</v>
      </c>
    </row>
    <row r="69" spans="2:20" ht="15">
      <c r="B69" s="427"/>
      <c r="C69" s="427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396"/>
      <c r="O69" s="396"/>
      <c r="P69" s="396"/>
      <c r="Q69" s="396"/>
      <c r="R69" s="429"/>
      <c r="S69" s="429"/>
      <c r="T69" s="429"/>
    </row>
    <row r="70" spans="2:20" ht="14.25"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429"/>
      <c r="S70" s="429"/>
      <c r="T70" s="429"/>
    </row>
    <row r="71" spans="2:20" ht="15">
      <c r="B71" s="394" t="s">
        <v>335</v>
      </c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281"/>
      <c r="O71" s="396"/>
      <c r="P71" s="396"/>
      <c r="Q71" s="396"/>
      <c r="R71" s="429"/>
      <c r="S71" s="429"/>
      <c r="T71" s="429"/>
    </row>
    <row r="72" spans="2:20" ht="15" thickBot="1"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281"/>
      <c r="O72" s="396"/>
      <c r="P72" s="396"/>
      <c r="Q72" s="396"/>
      <c r="R72" s="429"/>
      <c r="S72" s="429"/>
      <c r="T72" s="429"/>
    </row>
    <row r="73" spans="2:20" ht="15">
      <c r="B73" s="398" t="s">
        <v>459</v>
      </c>
      <c r="C73" s="399"/>
      <c r="D73" s="401" t="s">
        <v>460</v>
      </c>
      <c r="E73" s="401"/>
      <c r="F73" s="401"/>
      <c r="G73" s="401"/>
      <c r="H73" s="402"/>
      <c r="I73" s="400" t="s">
        <v>461</v>
      </c>
      <c r="J73" s="401"/>
      <c r="K73" s="401"/>
      <c r="L73" s="401"/>
      <c r="M73" s="402"/>
      <c r="N73" s="281"/>
      <c r="O73" s="1028" t="s">
        <v>462</v>
      </c>
      <c r="P73" s="1029"/>
      <c r="Q73" s="1030"/>
      <c r="R73" s="281"/>
      <c r="S73" s="1028" t="s">
        <v>463</v>
      </c>
      <c r="T73" s="1030"/>
    </row>
    <row r="74" spans="2:20" ht="15">
      <c r="B74" s="403"/>
      <c r="C74" s="404"/>
      <c r="D74" s="410" t="s">
        <v>532</v>
      </c>
      <c r="E74" s="406" t="s">
        <v>533</v>
      </c>
      <c r="F74" s="406" t="s">
        <v>529</v>
      </c>
      <c r="G74" s="406" t="s">
        <v>534</v>
      </c>
      <c r="H74" s="407" t="s">
        <v>535</v>
      </c>
      <c r="I74" s="405" t="s">
        <v>464</v>
      </c>
      <c r="J74" s="406" t="s">
        <v>750</v>
      </c>
      <c r="K74" s="406" t="s">
        <v>836</v>
      </c>
      <c r="L74" s="406" t="s">
        <v>837</v>
      </c>
      <c r="M74" s="407" t="s">
        <v>838</v>
      </c>
      <c r="N74" s="281"/>
      <c r="O74" s="1031" t="s">
        <v>490</v>
      </c>
      <c r="P74" s="1032" t="s">
        <v>491</v>
      </c>
      <c r="Q74" s="1033" t="s">
        <v>881</v>
      </c>
      <c r="R74" s="281"/>
      <c r="S74" s="1031" t="s">
        <v>491</v>
      </c>
      <c r="T74" s="1033" t="s">
        <v>625</v>
      </c>
    </row>
    <row r="75" spans="2:20" ht="18">
      <c r="B75" s="408"/>
      <c r="C75" s="409"/>
      <c r="D75" s="410" t="s">
        <v>849</v>
      </c>
      <c r="E75" s="406" t="s">
        <v>849</v>
      </c>
      <c r="F75" s="406" t="s">
        <v>849</v>
      </c>
      <c r="G75" s="406" t="s">
        <v>849</v>
      </c>
      <c r="H75" s="407" t="s">
        <v>849</v>
      </c>
      <c r="I75" s="405" t="s">
        <v>849</v>
      </c>
      <c r="J75" s="406" t="s">
        <v>849</v>
      </c>
      <c r="K75" s="406" t="s">
        <v>849</v>
      </c>
      <c r="L75" s="406" t="s">
        <v>849</v>
      </c>
      <c r="M75" s="407" t="s">
        <v>849</v>
      </c>
      <c r="N75" s="396"/>
      <c r="O75" s="1034"/>
      <c r="P75" s="1035"/>
      <c r="Q75" s="1036"/>
      <c r="R75" s="281"/>
      <c r="S75" s="1037"/>
      <c r="T75" s="1038"/>
    </row>
    <row r="76" spans="2:20" ht="14.25" customHeight="1">
      <c r="B76" s="1465" t="s">
        <v>714</v>
      </c>
      <c r="C76" s="411" t="s">
        <v>715</v>
      </c>
      <c r="D76" s="430">
        <v>0</v>
      </c>
      <c r="E76" s="430">
        <v>0</v>
      </c>
      <c r="F76" s="430">
        <v>0</v>
      </c>
      <c r="G76" s="430">
        <v>0</v>
      </c>
      <c r="H76" s="431">
        <v>0</v>
      </c>
      <c r="I76" s="432">
        <v>0</v>
      </c>
      <c r="J76" s="433">
        <v>0</v>
      </c>
      <c r="K76" s="433">
        <v>0</v>
      </c>
      <c r="L76" s="433">
        <v>0</v>
      </c>
      <c r="M76" s="434">
        <v>0</v>
      </c>
      <c r="N76" s="396"/>
      <c r="O76" s="1039">
        <v>0</v>
      </c>
      <c r="P76" s="1040">
        <v>0</v>
      </c>
      <c r="Q76" s="1041">
        <v>0</v>
      </c>
      <c r="R76" s="281"/>
      <c r="S76" s="1039">
        <v>0</v>
      </c>
      <c r="T76" s="1042" t="s">
        <v>662</v>
      </c>
    </row>
    <row r="77" spans="2:20" ht="14.25" customHeight="1">
      <c r="B77" s="1466"/>
      <c r="C77" s="415" t="s">
        <v>716</v>
      </c>
      <c r="D77" s="435">
        <v>0</v>
      </c>
      <c r="E77" s="435">
        <v>0.09969218806469039</v>
      </c>
      <c r="F77" s="435">
        <v>0.09978899378183798</v>
      </c>
      <c r="G77" s="435">
        <v>0.11169501377011161</v>
      </c>
      <c r="H77" s="436">
        <v>0.11128498641171768</v>
      </c>
      <c r="I77" s="437">
        <v>0</v>
      </c>
      <c r="J77" s="438">
        <v>0</v>
      </c>
      <c r="K77" s="438">
        <v>0</v>
      </c>
      <c r="L77" s="438">
        <v>0</v>
      </c>
      <c r="M77" s="439">
        <v>0</v>
      </c>
      <c r="N77" s="396"/>
      <c r="O77" s="1039">
        <v>0.19948118184652835</v>
      </c>
      <c r="P77" s="1040">
        <v>0.22298000018182929</v>
      </c>
      <c r="Q77" s="1041">
        <v>0.42246118202835764</v>
      </c>
      <c r="R77" s="281"/>
      <c r="S77" s="1039">
        <v>0</v>
      </c>
      <c r="T77" s="1042">
        <v>-1</v>
      </c>
    </row>
    <row r="78" spans="2:20" ht="14.25" customHeight="1">
      <c r="B78" s="1466" t="s">
        <v>599</v>
      </c>
      <c r="C78" s="415" t="s">
        <v>715</v>
      </c>
      <c r="D78" s="435">
        <v>0</v>
      </c>
      <c r="E78" s="435">
        <v>0</v>
      </c>
      <c r="F78" s="435">
        <v>0</v>
      </c>
      <c r="G78" s="435">
        <v>0</v>
      </c>
      <c r="H78" s="436">
        <v>0</v>
      </c>
      <c r="I78" s="437">
        <v>0</v>
      </c>
      <c r="J78" s="438">
        <v>0</v>
      </c>
      <c r="K78" s="438">
        <v>0</v>
      </c>
      <c r="L78" s="438">
        <v>0</v>
      </c>
      <c r="M78" s="439">
        <v>0</v>
      </c>
      <c r="N78" s="396"/>
      <c r="O78" s="1039">
        <v>0</v>
      </c>
      <c r="P78" s="1040">
        <v>0</v>
      </c>
      <c r="Q78" s="1041">
        <v>0</v>
      </c>
      <c r="R78" s="281"/>
      <c r="S78" s="1039">
        <v>0</v>
      </c>
      <c r="T78" s="1042" t="s">
        <v>662</v>
      </c>
    </row>
    <row r="79" spans="2:20" ht="14.25" customHeight="1">
      <c r="B79" s="1466"/>
      <c r="C79" s="415" t="s">
        <v>716</v>
      </c>
      <c r="D79" s="435">
        <v>0</v>
      </c>
      <c r="E79" s="435">
        <v>0</v>
      </c>
      <c r="F79" s="435">
        <v>0</v>
      </c>
      <c r="G79" s="435">
        <v>0</v>
      </c>
      <c r="H79" s="436">
        <v>0</v>
      </c>
      <c r="I79" s="437">
        <v>0</v>
      </c>
      <c r="J79" s="438">
        <v>0</v>
      </c>
      <c r="K79" s="438">
        <v>0</v>
      </c>
      <c r="L79" s="438">
        <v>0</v>
      </c>
      <c r="M79" s="439">
        <v>0</v>
      </c>
      <c r="N79" s="396"/>
      <c r="O79" s="1039">
        <v>0</v>
      </c>
      <c r="P79" s="1040">
        <v>0</v>
      </c>
      <c r="Q79" s="1041">
        <v>0</v>
      </c>
      <c r="R79" s="281"/>
      <c r="S79" s="1039">
        <v>0</v>
      </c>
      <c r="T79" s="1042" t="s">
        <v>662</v>
      </c>
    </row>
    <row r="80" spans="2:20" ht="14.25" customHeight="1">
      <c r="B80" s="1467" t="s">
        <v>695</v>
      </c>
      <c r="C80" s="415" t="s">
        <v>743</v>
      </c>
      <c r="D80" s="435">
        <v>0</v>
      </c>
      <c r="E80" s="435">
        <v>0</v>
      </c>
      <c r="F80" s="435">
        <v>0</v>
      </c>
      <c r="G80" s="435">
        <v>0</v>
      </c>
      <c r="H80" s="436">
        <v>0</v>
      </c>
      <c r="I80" s="437">
        <v>0</v>
      </c>
      <c r="J80" s="438">
        <v>0</v>
      </c>
      <c r="K80" s="438">
        <v>0</v>
      </c>
      <c r="L80" s="438">
        <v>0</v>
      </c>
      <c r="M80" s="439">
        <v>0</v>
      </c>
      <c r="N80" s="396"/>
      <c r="O80" s="1039">
        <v>0</v>
      </c>
      <c r="P80" s="1040">
        <v>0</v>
      </c>
      <c r="Q80" s="1041">
        <v>0</v>
      </c>
      <c r="R80" s="281"/>
      <c r="S80" s="1039">
        <v>0</v>
      </c>
      <c r="T80" s="1042" t="s">
        <v>662</v>
      </c>
    </row>
    <row r="81" spans="2:20" ht="14.25" customHeight="1">
      <c r="B81" s="1467"/>
      <c r="C81" s="415" t="s">
        <v>744</v>
      </c>
      <c r="D81" s="435">
        <v>0</v>
      </c>
      <c r="E81" s="435">
        <v>0.09969218806469039</v>
      </c>
      <c r="F81" s="435">
        <v>0.09978899378183798</v>
      </c>
      <c r="G81" s="435">
        <v>0.11169501377011161</v>
      </c>
      <c r="H81" s="436">
        <v>0.11128498641171768</v>
      </c>
      <c r="I81" s="437">
        <v>0</v>
      </c>
      <c r="J81" s="438">
        <v>0</v>
      </c>
      <c r="K81" s="438">
        <v>0.1034972347085473</v>
      </c>
      <c r="L81" s="438">
        <v>0.10346650033406245</v>
      </c>
      <c r="M81" s="439">
        <v>0.10438459778625718</v>
      </c>
      <c r="N81" s="396"/>
      <c r="O81" s="1039">
        <v>0.19948118184652835</v>
      </c>
      <c r="P81" s="1040">
        <v>0.22298000018182929</v>
      </c>
      <c r="Q81" s="1041">
        <v>0.42246118202835764</v>
      </c>
      <c r="R81" s="281"/>
      <c r="S81" s="1039">
        <v>0.3113483328288669</v>
      </c>
      <c r="T81" s="1042">
        <v>-0.26301315701008543</v>
      </c>
    </row>
    <row r="82" spans="2:20" ht="14.25" customHeight="1">
      <c r="B82" s="1467"/>
      <c r="C82" s="419" t="s">
        <v>64</v>
      </c>
      <c r="D82" s="435">
        <v>0.39894349523391126</v>
      </c>
      <c r="E82" s="435">
        <v>0.5981531283881423</v>
      </c>
      <c r="F82" s="435">
        <v>0.7983119502547038</v>
      </c>
      <c r="G82" s="435">
        <v>0.44678005508044644</v>
      </c>
      <c r="H82" s="436">
        <v>0.4451399456468707</v>
      </c>
      <c r="I82" s="437">
        <v>0.4245227148577325</v>
      </c>
      <c r="J82" s="438">
        <v>0.41470887311777677</v>
      </c>
      <c r="K82" s="438">
        <v>0.4139889388341892</v>
      </c>
      <c r="L82" s="438">
        <v>0.4138660013362498</v>
      </c>
      <c r="M82" s="439">
        <v>0.4175383911450287</v>
      </c>
      <c r="N82" s="396"/>
      <c r="O82" s="1039">
        <v>1.7954085738767573</v>
      </c>
      <c r="P82" s="1040">
        <v>0.8919200007273171</v>
      </c>
      <c r="Q82" s="1041">
        <v>2.6873285746040745</v>
      </c>
      <c r="R82" s="281"/>
      <c r="S82" s="1039">
        <v>2.084624919290977</v>
      </c>
      <c r="T82" s="1042">
        <v>-0.22427613095354154</v>
      </c>
    </row>
    <row r="83" spans="2:20" ht="14.25" customHeight="1">
      <c r="B83" s="1467" t="s">
        <v>874</v>
      </c>
      <c r="C83" s="415" t="s">
        <v>65</v>
      </c>
      <c r="D83" s="435">
        <v>0.09973587380847782</v>
      </c>
      <c r="E83" s="435">
        <v>0.09969218806469039</v>
      </c>
      <c r="F83" s="435">
        <v>0.09978899378183798</v>
      </c>
      <c r="G83" s="435">
        <v>0.11169501377011161</v>
      </c>
      <c r="H83" s="436">
        <v>0.11128498641171768</v>
      </c>
      <c r="I83" s="437">
        <v>0.10613067871443313</v>
      </c>
      <c r="J83" s="438">
        <v>0.10367721827944419</v>
      </c>
      <c r="K83" s="438">
        <v>0.1034972347085473</v>
      </c>
      <c r="L83" s="438">
        <v>0.10346650033406245</v>
      </c>
      <c r="M83" s="439">
        <v>0.10438459778625718</v>
      </c>
      <c r="N83" s="396"/>
      <c r="O83" s="1039">
        <v>0.29921705565500617</v>
      </c>
      <c r="P83" s="1040">
        <v>0.22298000018182929</v>
      </c>
      <c r="Q83" s="1041">
        <v>0.5221970558368354</v>
      </c>
      <c r="R83" s="281"/>
      <c r="S83" s="1039">
        <v>0.5211562298227442</v>
      </c>
      <c r="T83" s="1042">
        <v>-0.001993167143432501</v>
      </c>
    </row>
    <row r="84" spans="2:20" ht="14.25" customHeight="1">
      <c r="B84" s="1467"/>
      <c r="C84" s="415" t="s">
        <v>612</v>
      </c>
      <c r="D84" s="435">
        <v>0</v>
      </c>
      <c r="E84" s="435">
        <v>0</v>
      </c>
      <c r="F84" s="435">
        <v>0</v>
      </c>
      <c r="G84" s="435">
        <v>0</v>
      </c>
      <c r="H84" s="436">
        <v>0</v>
      </c>
      <c r="I84" s="437">
        <v>0</v>
      </c>
      <c r="J84" s="438">
        <v>0</v>
      </c>
      <c r="K84" s="438">
        <v>0</v>
      </c>
      <c r="L84" s="438">
        <v>0</v>
      </c>
      <c r="M84" s="439">
        <v>0</v>
      </c>
      <c r="N84" s="396"/>
      <c r="O84" s="1039">
        <v>0</v>
      </c>
      <c r="P84" s="1040">
        <v>0</v>
      </c>
      <c r="Q84" s="1041">
        <v>0</v>
      </c>
      <c r="R84" s="281"/>
      <c r="S84" s="1039">
        <v>0</v>
      </c>
      <c r="T84" s="1042" t="s">
        <v>662</v>
      </c>
    </row>
    <row r="85" spans="2:20" ht="14.25" customHeight="1">
      <c r="B85" s="1467"/>
      <c r="C85" s="419" t="s">
        <v>619</v>
      </c>
      <c r="D85" s="435">
        <v>0</v>
      </c>
      <c r="E85" s="435">
        <v>0</v>
      </c>
      <c r="F85" s="435">
        <v>0</v>
      </c>
      <c r="G85" s="435">
        <v>0</v>
      </c>
      <c r="H85" s="436">
        <v>0</v>
      </c>
      <c r="I85" s="437">
        <v>0</v>
      </c>
      <c r="J85" s="438">
        <v>0</v>
      </c>
      <c r="K85" s="438">
        <v>0</v>
      </c>
      <c r="L85" s="438">
        <v>0</v>
      </c>
      <c r="M85" s="439">
        <v>0</v>
      </c>
      <c r="N85" s="396"/>
      <c r="O85" s="1039">
        <v>0</v>
      </c>
      <c r="P85" s="1040">
        <v>0</v>
      </c>
      <c r="Q85" s="1041">
        <v>0</v>
      </c>
      <c r="R85" s="281"/>
      <c r="S85" s="1039">
        <v>0</v>
      </c>
      <c r="T85" s="1042" t="s">
        <v>662</v>
      </c>
    </row>
    <row r="86" spans="2:20" ht="14.25" customHeight="1">
      <c r="B86" s="1467"/>
      <c r="C86" s="419" t="s">
        <v>64</v>
      </c>
      <c r="D86" s="435">
        <v>0.5984152428508669</v>
      </c>
      <c r="E86" s="435">
        <v>0.9969218806469039</v>
      </c>
      <c r="F86" s="435">
        <v>0.9978899378183798</v>
      </c>
      <c r="G86" s="435">
        <v>0.8935601101608929</v>
      </c>
      <c r="H86" s="436">
        <v>0.8902798912937414</v>
      </c>
      <c r="I86" s="437">
        <v>0.7429147510010318</v>
      </c>
      <c r="J86" s="438">
        <v>0.7257405279561093</v>
      </c>
      <c r="K86" s="438">
        <v>0.7244806429598311</v>
      </c>
      <c r="L86" s="438">
        <v>0.7242655023384371</v>
      </c>
      <c r="M86" s="439">
        <v>0.7306921845038001</v>
      </c>
      <c r="N86" s="396"/>
      <c r="O86" s="1039">
        <v>2.5932270613161506</v>
      </c>
      <c r="P86" s="1040">
        <v>1.7838400014546343</v>
      </c>
      <c r="Q86" s="1041">
        <v>4.377067062770784</v>
      </c>
      <c r="R86" s="281"/>
      <c r="S86" s="1039">
        <v>3.648093608759209</v>
      </c>
      <c r="T86" s="1042">
        <v>-0.16654381656883235</v>
      </c>
    </row>
    <row r="87" spans="2:20" ht="14.25" customHeight="1">
      <c r="B87" s="1467"/>
      <c r="C87" s="415" t="s">
        <v>594</v>
      </c>
      <c r="D87" s="435">
        <v>0</v>
      </c>
      <c r="E87" s="435">
        <v>0.49846094032345195</v>
      </c>
      <c r="F87" s="435">
        <v>0.6985229564728658</v>
      </c>
      <c r="G87" s="435">
        <v>0.3350850413103348</v>
      </c>
      <c r="H87" s="436">
        <v>0.333854959235153</v>
      </c>
      <c r="I87" s="437">
        <v>0.31839203614329936</v>
      </c>
      <c r="J87" s="438">
        <v>0.31103165483833256</v>
      </c>
      <c r="K87" s="438">
        <v>0.31049170412564187</v>
      </c>
      <c r="L87" s="438">
        <v>0.4138660013362498</v>
      </c>
      <c r="M87" s="439">
        <v>0.4175383911450287</v>
      </c>
      <c r="N87" s="396"/>
      <c r="O87" s="1039">
        <v>1.1969838967963178</v>
      </c>
      <c r="P87" s="1040">
        <v>0.6689400005454877</v>
      </c>
      <c r="Q87" s="1041">
        <v>1.8659238973418055</v>
      </c>
      <c r="R87" s="281"/>
      <c r="S87" s="1039">
        <v>1.7713197875885525</v>
      </c>
      <c r="T87" s="1042">
        <v>-0.05070094760457596</v>
      </c>
    </row>
    <row r="88" spans="2:20" ht="14.25" customHeight="1">
      <c r="B88" s="1467"/>
      <c r="C88" s="415" t="s">
        <v>595</v>
      </c>
      <c r="D88" s="435">
        <v>0.19947174761695563</v>
      </c>
      <c r="E88" s="435">
        <v>0.39876875225876157</v>
      </c>
      <c r="F88" s="435">
        <v>0.3991559751273519</v>
      </c>
      <c r="G88" s="435">
        <v>0.3350850413103348</v>
      </c>
      <c r="H88" s="436">
        <v>0.333854959235153</v>
      </c>
      <c r="I88" s="437">
        <v>0.31839203614329936</v>
      </c>
      <c r="J88" s="438">
        <v>0.31103165483833256</v>
      </c>
      <c r="K88" s="438">
        <v>0.31049170412564187</v>
      </c>
      <c r="L88" s="438">
        <v>0.31039950100218733</v>
      </c>
      <c r="M88" s="439">
        <v>0.31315379335877147</v>
      </c>
      <c r="N88" s="396"/>
      <c r="O88" s="1039">
        <v>0.997396475003069</v>
      </c>
      <c r="P88" s="1040">
        <v>0.6689400005454877</v>
      </c>
      <c r="Q88" s="1041">
        <v>1.6663364755485568</v>
      </c>
      <c r="R88" s="281"/>
      <c r="S88" s="1039">
        <v>1.5634686894682326</v>
      </c>
      <c r="T88" s="1042">
        <v>-0.061732901841724495</v>
      </c>
    </row>
    <row r="89" spans="2:20" ht="14.25" customHeight="1">
      <c r="B89" s="1467" t="s">
        <v>880</v>
      </c>
      <c r="C89" s="415" t="s">
        <v>65</v>
      </c>
      <c r="D89" s="435">
        <v>0</v>
      </c>
      <c r="E89" s="435">
        <v>0</v>
      </c>
      <c r="F89" s="435">
        <v>0</v>
      </c>
      <c r="G89" s="435">
        <v>0</v>
      </c>
      <c r="H89" s="436">
        <v>0</v>
      </c>
      <c r="I89" s="437">
        <v>0</v>
      </c>
      <c r="J89" s="438">
        <v>0</v>
      </c>
      <c r="K89" s="438">
        <v>0</v>
      </c>
      <c r="L89" s="438">
        <v>0</v>
      </c>
      <c r="M89" s="439">
        <v>0</v>
      </c>
      <c r="N89" s="396"/>
      <c r="O89" s="1039">
        <v>0</v>
      </c>
      <c r="P89" s="1040">
        <v>0</v>
      </c>
      <c r="Q89" s="1041">
        <v>0</v>
      </c>
      <c r="R89" s="281"/>
      <c r="S89" s="1039">
        <v>0</v>
      </c>
      <c r="T89" s="1042" t="s">
        <v>662</v>
      </c>
    </row>
    <row r="90" spans="2:20" ht="14.25" customHeight="1">
      <c r="B90" s="1467"/>
      <c r="C90" s="415" t="s">
        <v>612</v>
      </c>
      <c r="D90" s="435">
        <v>0</v>
      </c>
      <c r="E90" s="435">
        <v>0</v>
      </c>
      <c r="F90" s="435">
        <v>0</v>
      </c>
      <c r="G90" s="435">
        <v>0</v>
      </c>
      <c r="H90" s="436">
        <v>0</v>
      </c>
      <c r="I90" s="437">
        <v>0</v>
      </c>
      <c r="J90" s="438">
        <v>0</v>
      </c>
      <c r="K90" s="438">
        <v>0</v>
      </c>
      <c r="L90" s="438">
        <v>0</v>
      </c>
      <c r="M90" s="439">
        <v>0</v>
      </c>
      <c r="N90" s="396"/>
      <c r="O90" s="1039">
        <v>0</v>
      </c>
      <c r="P90" s="1040">
        <v>0</v>
      </c>
      <c r="Q90" s="1041">
        <v>0</v>
      </c>
      <c r="R90" s="281"/>
      <c r="S90" s="1039">
        <v>0</v>
      </c>
      <c r="T90" s="1042" t="s">
        <v>662</v>
      </c>
    </row>
    <row r="91" spans="2:20" ht="14.25" customHeight="1">
      <c r="B91" s="1467"/>
      <c r="C91" s="415" t="s">
        <v>619</v>
      </c>
      <c r="D91" s="435">
        <v>0</v>
      </c>
      <c r="E91" s="435">
        <v>0</v>
      </c>
      <c r="F91" s="435">
        <v>0</v>
      </c>
      <c r="G91" s="435">
        <v>0</v>
      </c>
      <c r="H91" s="436">
        <v>0</v>
      </c>
      <c r="I91" s="437">
        <v>0</v>
      </c>
      <c r="J91" s="438">
        <v>0</v>
      </c>
      <c r="K91" s="438">
        <v>0</v>
      </c>
      <c r="L91" s="438">
        <v>0</v>
      </c>
      <c r="M91" s="439">
        <v>0</v>
      </c>
      <c r="N91" s="396"/>
      <c r="O91" s="1039">
        <v>0</v>
      </c>
      <c r="P91" s="1040">
        <v>0</v>
      </c>
      <c r="Q91" s="1041">
        <v>0</v>
      </c>
      <c r="R91" s="281"/>
      <c r="S91" s="1039">
        <v>0</v>
      </c>
      <c r="T91" s="1042" t="s">
        <v>662</v>
      </c>
    </row>
    <row r="92" spans="2:20" ht="14.25" customHeight="1">
      <c r="B92" s="1467"/>
      <c r="C92" s="415" t="s">
        <v>64</v>
      </c>
      <c r="D92" s="435">
        <v>0</v>
      </c>
      <c r="E92" s="435">
        <v>0.09969218806469039</v>
      </c>
      <c r="F92" s="435">
        <v>0.09978899378183798</v>
      </c>
      <c r="G92" s="435">
        <v>0.11169501377011161</v>
      </c>
      <c r="H92" s="436">
        <v>0.11128498641171768</v>
      </c>
      <c r="I92" s="437">
        <v>0.10613067871443313</v>
      </c>
      <c r="J92" s="438">
        <v>0.10367721827944419</v>
      </c>
      <c r="K92" s="438">
        <v>0.1034972347085473</v>
      </c>
      <c r="L92" s="438">
        <v>0.10346650033406245</v>
      </c>
      <c r="M92" s="439">
        <v>0.10438459778625718</v>
      </c>
      <c r="N92" s="396"/>
      <c r="O92" s="1039">
        <v>0.19948118184652835</v>
      </c>
      <c r="P92" s="1040">
        <v>0.22298000018182929</v>
      </c>
      <c r="Q92" s="1041">
        <v>0.42246118202835764</v>
      </c>
      <c r="R92" s="281"/>
      <c r="S92" s="1039">
        <v>0.5211562298227442</v>
      </c>
      <c r="T92" s="1042">
        <v>0.23361921045745146</v>
      </c>
    </row>
    <row r="93" spans="2:20" ht="14.25" customHeight="1">
      <c r="B93" s="1467"/>
      <c r="C93" s="415" t="s">
        <v>594</v>
      </c>
      <c r="D93" s="435">
        <v>0.09973587380847782</v>
      </c>
      <c r="E93" s="435">
        <v>0.49846094032345195</v>
      </c>
      <c r="F93" s="435">
        <v>0.2993669813455139</v>
      </c>
      <c r="G93" s="435">
        <v>0.3350850413103348</v>
      </c>
      <c r="H93" s="436">
        <v>0.333854959235153</v>
      </c>
      <c r="I93" s="437">
        <v>0.21226135742886626</v>
      </c>
      <c r="J93" s="438">
        <v>0.20735443655888838</v>
      </c>
      <c r="K93" s="438">
        <v>0.2069944694170946</v>
      </c>
      <c r="L93" s="438">
        <v>0.2069330006681249</v>
      </c>
      <c r="M93" s="439">
        <v>0.20876919557251436</v>
      </c>
      <c r="N93" s="396"/>
      <c r="O93" s="1039">
        <v>0.8975637954774438</v>
      </c>
      <c r="P93" s="1040">
        <v>0.6689400005454877</v>
      </c>
      <c r="Q93" s="1041">
        <v>1.5665037960229315</v>
      </c>
      <c r="R93" s="281"/>
      <c r="S93" s="1039">
        <v>1.0423124596454885</v>
      </c>
      <c r="T93" s="1042">
        <v>-0.3346250023193494</v>
      </c>
    </row>
    <row r="94" spans="2:20" ht="14.25" customHeight="1">
      <c r="B94" s="1467"/>
      <c r="C94" s="420" t="s">
        <v>595</v>
      </c>
      <c r="D94" s="435">
        <v>0</v>
      </c>
      <c r="E94" s="435">
        <v>0</v>
      </c>
      <c r="F94" s="435">
        <v>0</v>
      </c>
      <c r="G94" s="435">
        <v>0</v>
      </c>
      <c r="H94" s="436">
        <v>0</v>
      </c>
      <c r="I94" s="437">
        <v>0</v>
      </c>
      <c r="J94" s="438">
        <v>0</v>
      </c>
      <c r="K94" s="438">
        <v>0</v>
      </c>
      <c r="L94" s="438">
        <v>0</v>
      </c>
      <c r="M94" s="439">
        <v>0</v>
      </c>
      <c r="N94" s="396"/>
      <c r="O94" s="1039">
        <v>0</v>
      </c>
      <c r="P94" s="1040">
        <v>0</v>
      </c>
      <c r="Q94" s="1041">
        <v>0</v>
      </c>
      <c r="R94" s="281"/>
      <c r="S94" s="1039">
        <v>0</v>
      </c>
      <c r="T94" s="1042" t="s">
        <v>662</v>
      </c>
    </row>
    <row r="95" spans="2:20" ht="14.25" customHeight="1">
      <c r="B95" s="1467" t="s">
        <v>878</v>
      </c>
      <c r="C95" s="421" t="s">
        <v>65</v>
      </c>
      <c r="D95" s="435">
        <v>0</v>
      </c>
      <c r="E95" s="435">
        <v>0</v>
      </c>
      <c r="F95" s="435">
        <v>0</v>
      </c>
      <c r="G95" s="435">
        <v>0</v>
      </c>
      <c r="H95" s="436">
        <v>0</v>
      </c>
      <c r="I95" s="437">
        <v>0</v>
      </c>
      <c r="J95" s="438">
        <v>0</v>
      </c>
      <c r="K95" s="438">
        <v>0</v>
      </c>
      <c r="L95" s="438">
        <v>0</v>
      </c>
      <c r="M95" s="439">
        <v>0</v>
      </c>
      <c r="N95" s="396"/>
      <c r="O95" s="1039">
        <v>0</v>
      </c>
      <c r="P95" s="1040">
        <v>0</v>
      </c>
      <c r="Q95" s="1041">
        <v>0</v>
      </c>
      <c r="R95" s="281"/>
      <c r="S95" s="1039">
        <v>0</v>
      </c>
      <c r="T95" s="1042" t="s">
        <v>662</v>
      </c>
    </row>
    <row r="96" spans="2:20" ht="14.25" customHeight="1">
      <c r="B96" s="1467"/>
      <c r="C96" s="415" t="s">
        <v>612</v>
      </c>
      <c r="D96" s="435">
        <v>0</v>
      </c>
      <c r="E96" s="435">
        <v>0</v>
      </c>
      <c r="F96" s="435">
        <v>0</v>
      </c>
      <c r="G96" s="435">
        <v>0</v>
      </c>
      <c r="H96" s="436">
        <v>0</v>
      </c>
      <c r="I96" s="437">
        <v>0</v>
      </c>
      <c r="J96" s="438">
        <v>0</v>
      </c>
      <c r="K96" s="438">
        <v>0</v>
      </c>
      <c r="L96" s="438">
        <v>0</v>
      </c>
      <c r="M96" s="439">
        <v>0</v>
      </c>
      <c r="N96" s="396"/>
      <c r="O96" s="1039">
        <v>0</v>
      </c>
      <c r="P96" s="1040">
        <v>0</v>
      </c>
      <c r="Q96" s="1041">
        <v>0</v>
      </c>
      <c r="R96" s="281"/>
      <c r="S96" s="1039">
        <v>0</v>
      </c>
      <c r="T96" s="1042" t="s">
        <v>662</v>
      </c>
    </row>
    <row r="97" spans="2:20" ht="14.25" customHeight="1">
      <c r="B97" s="1467"/>
      <c r="C97" s="420" t="s">
        <v>613</v>
      </c>
      <c r="D97" s="435">
        <v>0</v>
      </c>
      <c r="E97" s="435">
        <v>0</v>
      </c>
      <c r="F97" s="435">
        <v>0</v>
      </c>
      <c r="G97" s="435">
        <v>0</v>
      </c>
      <c r="H97" s="436">
        <v>0</v>
      </c>
      <c r="I97" s="437">
        <v>0</v>
      </c>
      <c r="J97" s="438">
        <v>0</v>
      </c>
      <c r="K97" s="438">
        <v>0</v>
      </c>
      <c r="L97" s="438">
        <v>0</v>
      </c>
      <c r="M97" s="439">
        <v>0</v>
      </c>
      <c r="N97" s="396"/>
      <c r="O97" s="1039">
        <v>0</v>
      </c>
      <c r="P97" s="1040">
        <v>0</v>
      </c>
      <c r="Q97" s="1041">
        <v>0</v>
      </c>
      <c r="R97" s="281"/>
      <c r="S97" s="1039">
        <v>0</v>
      </c>
      <c r="T97" s="1042" t="s">
        <v>662</v>
      </c>
    </row>
    <row r="98" spans="2:20" ht="14.25" customHeight="1">
      <c r="B98" s="1467"/>
      <c r="C98" s="420" t="s">
        <v>64</v>
      </c>
      <c r="D98" s="435">
        <v>0</v>
      </c>
      <c r="E98" s="435">
        <v>0</v>
      </c>
      <c r="F98" s="435">
        <v>0</v>
      </c>
      <c r="G98" s="435">
        <v>0</v>
      </c>
      <c r="H98" s="436">
        <v>0</v>
      </c>
      <c r="I98" s="437">
        <v>0</v>
      </c>
      <c r="J98" s="438">
        <v>0</v>
      </c>
      <c r="K98" s="438">
        <v>0</v>
      </c>
      <c r="L98" s="438">
        <v>0</v>
      </c>
      <c r="M98" s="439">
        <v>0</v>
      </c>
      <c r="N98" s="396"/>
      <c r="O98" s="1039">
        <v>0</v>
      </c>
      <c r="P98" s="1040">
        <v>0</v>
      </c>
      <c r="Q98" s="1041">
        <v>0</v>
      </c>
      <c r="R98" s="281"/>
      <c r="S98" s="1039">
        <v>0</v>
      </c>
      <c r="T98" s="1042" t="s">
        <v>662</v>
      </c>
    </row>
    <row r="99" spans="2:20" ht="14.25" customHeight="1">
      <c r="B99" s="1467"/>
      <c r="C99" s="420" t="s">
        <v>594</v>
      </c>
      <c r="D99" s="435">
        <v>0</v>
      </c>
      <c r="E99" s="435">
        <v>0</v>
      </c>
      <c r="F99" s="435">
        <v>0</v>
      </c>
      <c r="G99" s="435">
        <v>0</v>
      </c>
      <c r="H99" s="436">
        <v>0</v>
      </c>
      <c r="I99" s="437">
        <v>0</v>
      </c>
      <c r="J99" s="438">
        <v>0</v>
      </c>
      <c r="K99" s="438">
        <v>0</v>
      </c>
      <c r="L99" s="438">
        <v>0</v>
      </c>
      <c r="M99" s="439">
        <v>0</v>
      </c>
      <c r="N99" s="396"/>
      <c r="O99" s="1039">
        <v>0</v>
      </c>
      <c r="P99" s="1040">
        <v>0</v>
      </c>
      <c r="Q99" s="1041">
        <v>0</v>
      </c>
      <c r="R99" s="281"/>
      <c r="S99" s="1039">
        <v>0</v>
      </c>
      <c r="T99" s="1042" t="s">
        <v>662</v>
      </c>
    </row>
    <row r="100" spans="2:20" ht="14.25" customHeight="1">
      <c r="B100" s="1467"/>
      <c r="C100" s="420" t="s">
        <v>595</v>
      </c>
      <c r="D100" s="435">
        <v>0</v>
      </c>
      <c r="E100" s="435">
        <v>0</v>
      </c>
      <c r="F100" s="435">
        <v>0</v>
      </c>
      <c r="G100" s="435">
        <v>0</v>
      </c>
      <c r="H100" s="436">
        <v>0</v>
      </c>
      <c r="I100" s="437">
        <v>0</v>
      </c>
      <c r="J100" s="438">
        <v>0</v>
      </c>
      <c r="K100" s="438">
        <v>0</v>
      </c>
      <c r="L100" s="438">
        <v>0</v>
      </c>
      <c r="M100" s="439">
        <v>0</v>
      </c>
      <c r="N100" s="396"/>
      <c r="O100" s="1039">
        <v>0</v>
      </c>
      <c r="P100" s="1040">
        <v>0</v>
      </c>
      <c r="Q100" s="1041">
        <v>0</v>
      </c>
      <c r="R100" s="281"/>
      <c r="S100" s="1039">
        <v>0</v>
      </c>
      <c r="T100" s="1042" t="s">
        <v>662</v>
      </c>
    </row>
    <row r="101" spans="2:20" ht="15.75" thickBot="1">
      <c r="B101" s="422" t="s">
        <v>346</v>
      </c>
      <c r="C101" s="423"/>
      <c r="D101" s="456">
        <v>1.3963022333186892</v>
      </c>
      <c r="E101" s="457">
        <v>3.3895343941994738</v>
      </c>
      <c r="F101" s="457">
        <v>3.592403776146167</v>
      </c>
      <c r="G101" s="457">
        <v>2.7923753442527905</v>
      </c>
      <c r="H101" s="458">
        <v>2.782124660292942</v>
      </c>
      <c r="I101" s="459">
        <v>2.228744253003095</v>
      </c>
      <c r="J101" s="457">
        <v>2.1772215838683278</v>
      </c>
      <c r="K101" s="457">
        <v>2.2769391635880405</v>
      </c>
      <c r="L101" s="457">
        <v>2.379729507683436</v>
      </c>
      <c r="M101" s="458">
        <v>2.400845749083915</v>
      </c>
      <c r="N101" s="396"/>
      <c r="O101" s="1043">
        <v>8.37824040366433</v>
      </c>
      <c r="P101" s="1044">
        <v>5.574500004545733</v>
      </c>
      <c r="Q101" s="1045">
        <v>13.952740408210063</v>
      </c>
      <c r="R101" s="281"/>
      <c r="S101" s="1043">
        <v>11.463480257226815</v>
      </c>
      <c r="T101" s="1046">
        <v>-0.1784065408053116</v>
      </c>
    </row>
    <row r="102" spans="2:20" ht="14.25"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429"/>
      <c r="S102" s="429"/>
      <c r="T102" s="429"/>
    </row>
    <row r="103" spans="2:20" ht="14.25"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429"/>
      <c r="S103" s="429"/>
      <c r="T103" s="429"/>
    </row>
    <row r="104" spans="2:20" ht="15">
      <c r="B104" s="394" t="s">
        <v>336</v>
      </c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429"/>
      <c r="S104" s="429"/>
      <c r="T104" s="429"/>
    </row>
    <row r="105" spans="2:20" ht="15" thickBot="1"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429"/>
      <c r="S105" s="429"/>
      <c r="T105" s="429"/>
    </row>
    <row r="106" spans="2:20" ht="15">
      <c r="B106" s="398" t="s">
        <v>459</v>
      </c>
      <c r="C106" s="399"/>
      <c r="D106" s="401" t="s">
        <v>460</v>
      </c>
      <c r="E106" s="401"/>
      <c r="F106" s="401"/>
      <c r="G106" s="401"/>
      <c r="H106" s="402"/>
      <c r="I106" s="400" t="s">
        <v>461</v>
      </c>
      <c r="J106" s="401"/>
      <c r="K106" s="401"/>
      <c r="L106" s="401"/>
      <c r="M106" s="402"/>
      <c r="N106" s="396"/>
      <c r="O106" s="1028" t="s">
        <v>462</v>
      </c>
      <c r="P106" s="1029"/>
      <c r="Q106" s="1030"/>
      <c r="R106" s="281"/>
      <c r="S106" s="1028" t="s">
        <v>463</v>
      </c>
      <c r="T106" s="1030"/>
    </row>
    <row r="107" spans="2:20" ht="15">
      <c r="B107" s="403"/>
      <c r="C107" s="404"/>
      <c r="D107" s="410" t="s">
        <v>532</v>
      </c>
      <c r="E107" s="406" t="s">
        <v>533</v>
      </c>
      <c r="F107" s="406" t="s">
        <v>529</v>
      </c>
      <c r="G107" s="406" t="s">
        <v>534</v>
      </c>
      <c r="H107" s="407" t="s">
        <v>535</v>
      </c>
      <c r="I107" s="405" t="s">
        <v>464</v>
      </c>
      <c r="J107" s="406" t="s">
        <v>750</v>
      </c>
      <c r="K107" s="406" t="s">
        <v>836</v>
      </c>
      <c r="L107" s="406" t="s">
        <v>837</v>
      </c>
      <c r="M107" s="407" t="s">
        <v>337</v>
      </c>
      <c r="N107" s="396"/>
      <c r="O107" s="1031" t="s">
        <v>490</v>
      </c>
      <c r="P107" s="1032" t="s">
        <v>491</v>
      </c>
      <c r="Q107" s="1033" t="s">
        <v>881</v>
      </c>
      <c r="R107" s="281"/>
      <c r="S107" s="1031" t="s">
        <v>491</v>
      </c>
      <c r="T107" s="1033" t="s">
        <v>625</v>
      </c>
    </row>
    <row r="108" spans="2:20" ht="18">
      <c r="B108" s="408"/>
      <c r="C108" s="409"/>
      <c r="D108" s="410" t="s">
        <v>849</v>
      </c>
      <c r="E108" s="406" t="s">
        <v>849</v>
      </c>
      <c r="F108" s="406" t="s">
        <v>849</v>
      </c>
      <c r="G108" s="406" t="s">
        <v>849</v>
      </c>
      <c r="H108" s="407" t="s">
        <v>849</v>
      </c>
      <c r="I108" s="405" t="s">
        <v>849</v>
      </c>
      <c r="J108" s="406" t="s">
        <v>849</v>
      </c>
      <c r="K108" s="406" t="s">
        <v>849</v>
      </c>
      <c r="L108" s="406" t="s">
        <v>849</v>
      </c>
      <c r="M108" s="407" t="s">
        <v>849</v>
      </c>
      <c r="N108" s="396"/>
      <c r="O108" s="1034"/>
      <c r="P108" s="1035"/>
      <c r="Q108" s="1036"/>
      <c r="R108" s="281"/>
      <c r="S108" s="1037"/>
      <c r="T108" s="1038"/>
    </row>
    <row r="109" spans="2:20" ht="14.25" customHeight="1">
      <c r="B109" s="1469" t="s">
        <v>338</v>
      </c>
      <c r="C109" s="460" t="s">
        <v>339</v>
      </c>
      <c r="D109" s="430">
        <v>0</v>
      </c>
      <c r="E109" s="433">
        <v>0</v>
      </c>
      <c r="F109" s="433">
        <v>0</v>
      </c>
      <c r="G109" s="433">
        <v>0.22339002754022322</v>
      </c>
      <c r="H109" s="434">
        <v>1.335419836940612</v>
      </c>
      <c r="I109" s="432">
        <v>0</v>
      </c>
      <c r="J109" s="433">
        <v>0</v>
      </c>
      <c r="K109" s="433">
        <v>0</v>
      </c>
      <c r="L109" s="433">
        <v>0</v>
      </c>
      <c r="M109" s="434">
        <v>0</v>
      </c>
      <c r="N109" s="396"/>
      <c r="O109" s="1039">
        <v>0</v>
      </c>
      <c r="P109" s="1040">
        <v>1.5588098644808352</v>
      </c>
      <c r="Q109" s="1041">
        <v>1.5588098644808352</v>
      </c>
      <c r="R109" s="281"/>
      <c r="S109" s="1039">
        <v>0</v>
      </c>
      <c r="T109" s="1047">
        <v>-1</v>
      </c>
    </row>
    <row r="110" spans="2:20" ht="14.25">
      <c r="B110" s="1470"/>
      <c r="C110" s="460" t="s">
        <v>340</v>
      </c>
      <c r="D110" s="435">
        <v>0.09973587380847782</v>
      </c>
      <c r="E110" s="438">
        <v>0.09969218806469039</v>
      </c>
      <c r="F110" s="438">
        <v>0.09978899378183798</v>
      </c>
      <c r="G110" s="438">
        <v>0.8935601101608929</v>
      </c>
      <c r="H110" s="439">
        <v>0.5564249320585885</v>
      </c>
      <c r="I110" s="437">
        <v>0.7429147510010318</v>
      </c>
      <c r="J110" s="438">
        <v>0.7257405279561093</v>
      </c>
      <c r="K110" s="438">
        <v>0.8279778776683784</v>
      </c>
      <c r="L110" s="438">
        <v>0.8277320026724996</v>
      </c>
      <c r="M110" s="439">
        <v>0.8350767822900574</v>
      </c>
      <c r="N110" s="396"/>
      <c r="O110" s="1039">
        <v>0.29921705565500617</v>
      </c>
      <c r="P110" s="1040">
        <v>1.4499850422194813</v>
      </c>
      <c r="Q110" s="1041">
        <v>1.7492020978744875</v>
      </c>
      <c r="R110" s="281"/>
      <c r="S110" s="1039">
        <v>3.959441941588077</v>
      </c>
      <c r="T110" s="1047">
        <v>1.2635703138015462</v>
      </c>
    </row>
    <row r="111" spans="2:20" ht="14.25">
      <c r="B111" s="1470"/>
      <c r="C111" s="460" t="s">
        <v>341</v>
      </c>
      <c r="D111" s="435">
        <v>0.29920762142543345</v>
      </c>
      <c r="E111" s="438">
        <v>0.39876875225876157</v>
      </c>
      <c r="F111" s="438">
        <v>0.5987339626910279</v>
      </c>
      <c r="G111" s="438">
        <v>3.7976304681837947</v>
      </c>
      <c r="H111" s="439">
        <v>2.8934096467046597</v>
      </c>
      <c r="I111" s="437">
        <v>0.5306533935721656</v>
      </c>
      <c r="J111" s="438">
        <v>0.5183860913972209</v>
      </c>
      <c r="K111" s="438">
        <v>0.5174861735427364</v>
      </c>
      <c r="L111" s="438">
        <v>0.5173325016703123</v>
      </c>
      <c r="M111" s="439">
        <v>0.5219229889312859</v>
      </c>
      <c r="N111" s="396"/>
      <c r="O111" s="1039"/>
      <c r="P111" s="1040"/>
      <c r="Q111" s="1041"/>
      <c r="R111" s="281"/>
      <c r="S111" s="1039"/>
      <c r="T111" s="1047"/>
    </row>
    <row r="112" spans="2:20" ht="14.25">
      <c r="B112" s="1470"/>
      <c r="C112" s="460" t="s">
        <v>342</v>
      </c>
      <c r="D112" s="435">
        <v>0</v>
      </c>
      <c r="E112" s="438">
        <v>0</v>
      </c>
      <c r="F112" s="438">
        <v>0</v>
      </c>
      <c r="G112" s="438">
        <v>0</v>
      </c>
      <c r="H112" s="439">
        <v>0</v>
      </c>
      <c r="I112" s="437">
        <v>0</v>
      </c>
      <c r="J112" s="438">
        <v>0</v>
      </c>
      <c r="K112" s="438">
        <v>0</v>
      </c>
      <c r="L112" s="438">
        <v>0</v>
      </c>
      <c r="M112" s="439">
        <v>0</v>
      </c>
      <c r="N112" s="396"/>
      <c r="O112" s="1039"/>
      <c r="P112" s="1040"/>
      <c r="Q112" s="1041"/>
      <c r="R112" s="281"/>
      <c r="S112" s="1039"/>
      <c r="T112" s="1047"/>
    </row>
    <row r="113" spans="2:20" ht="14.25">
      <c r="B113" s="1470"/>
      <c r="C113" s="460" t="s">
        <v>343</v>
      </c>
      <c r="D113" s="435">
        <v>0</v>
      </c>
      <c r="E113" s="438">
        <v>0</v>
      </c>
      <c r="F113" s="438">
        <v>0</v>
      </c>
      <c r="G113" s="438">
        <v>0</v>
      </c>
      <c r="H113" s="439">
        <v>0</v>
      </c>
      <c r="I113" s="437">
        <v>0</v>
      </c>
      <c r="J113" s="438">
        <v>0</v>
      </c>
      <c r="K113" s="438">
        <v>0</v>
      </c>
      <c r="L113" s="438">
        <v>0</v>
      </c>
      <c r="M113" s="439">
        <v>0</v>
      </c>
      <c r="N113" s="396"/>
      <c r="O113" s="1039"/>
      <c r="P113" s="1040"/>
      <c r="Q113" s="1041"/>
      <c r="R113" s="281"/>
      <c r="S113" s="1039"/>
      <c r="T113" s="1047"/>
    </row>
    <row r="114" spans="2:20" ht="14.25">
      <c r="B114" s="1471"/>
      <c r="C114" s="461" t="s">
        <v>472</v>
      </c>
      <c r="D114" s="462">
        <v>0.39894349523391126</v>
      </c>
      <c r="E114" s="462">
        <v>0.49846094032345195</v>
      </c>
      <c r="F114" s="462">
        <v>0.6985229564728659</v>
      </c>
      <c r="G114" s="462">
        <v>4.914580605884911</v>
      </c>
      <c r="H114" s="463">
        <v>4.785254415703861</v>
      </c>
      <c r="I114" s="464">
        <v>1.2735681445731974</v>
      </c>
      <c r="J114" s="462">
        <v>1.2441266193533302</v>
      </c>
      <c r="K114" s="462">
        <v>1.3454640512111147</v>
      </c>
      <c r="L114" s="462">
        <v>1.3450645043428118</v>
      </c>
      <c r="M114" s="463">
        <v>1.3569997712213433</v>
      </c>
      <c r="N114" s="396"/>
      <c r="O114" s="1039">
        <v>1.595927392030229</v>
      </c>
      <c r="P114" s="1040">
        <v>9.699835021588772</v>
      </c>
      <c r="Q114" s="1041">
        <v>11.295762413619002</v>
      </c>
      <c r="R114" s="281"/>
      <c r="S114" s="1039">
        <v>6.565223090701798</v>
      </c>
      <c r="T114" s="1047">
        <v>-0.4187888475074262</v>
      </c>
    </row>
    <row r="115" spans="2:20" ht="14.25" customHeight="1">
      <c r="B115" s="1469" t="s">
        <v>874</v>
      </c>
      <c r="C115" s="460" t="s">
        <v>339</v>
      </c>
      <c r="D115" s="435">
        <v>1.2965663595102117</v>
      </c>
      <c r="E115" s="438">
        <v>1.2959984448409752</v>
      </c>
      <c r="F115" s="438">
        <v>1.2972569191638936</v>
      </c>
      <c r="G115" s="438">
        <v>5.58475068850558</v>
      </c>
      <c r="H115" s="439">
        <v>5.119109374939012</v>
      </c>
      <c r="I115" s="437">
        <v>2.2287442530030956</v>
      </c>
      <c r="J115" s="438">
        <v>1.9698671473094393</v>
      </c>
      <c r="K115" s="438">
        <v>1.8629502247538514</v>
      </c>
      <c r="L115" s="438">
        <v>1.7589305056790614</v>
      </c>
      <c r="M115" s="439">
        <v>1.7745381623663716</v>
      </c>
      <c r="N115" s="396"/>
      <c r="O115" s="1039">
        <v>3.8898217235150803</v>
      </c>
      <c r="P115" s="1040">
        <v>10.703860063444592</v>
      </c>
      <c r="Q115" s="1041">
        <v>14.59368178695967</v>
      </c>
      <c r="R115" s="281"/>
      <c r="S115" s="1039">
        <v>9.595030293111819</v>
      </c>
      <c r="T115" s="1047">
        <v>-0.34252161769858835</v>
      </c>
    </row>
    <row r="116" spans="2:20" ht="14.25">
      <c r="B116" s="1470"/>
      <c r="C116" s="460" t="s">
        <v>340</v>
      </c>
      <c r="D116" s="435">
        <v>0.5984152428508669</v>
      </c>
      <c r="E116" s="438">
        <v>0.5981531283881423</v>
      </c>
      <c r="F116" s="438">
        <v>0.5987339626910279</v>
      </c>
      <c r="G116" s="438">
        <v>2.457290302942456</v>
      </c>
      <c r="H116" s="439">
        <v>3.5611195651749656</v>
      </c>
      <c r="I116" s="437">
        <v>4.139096469862892</v>
      </c>
      <c r="J116" s="438">
        <v>3.836057076339435</v>
      </c>
      <c r="K116" s="438">
        <v>3.622403214799155</v>
      </c>
      <c r="L116" s="438">
        <v>3.4143945110240606</v>
      </c>
      <c r="M116" s="439">
        <v>3.3403071291602298</v>
      </c>
      <c r="N116" s="396"/>
      <c r="O116" s="1039">
        <v>1.795302333930037</v>
      </c>
      <c r="P116" s="1040">
        <v>6.018409868117422</v>
      </c>
      <c r="Q116" s="1041">
        <v>7.8137122020474585</v>
      </c>
      <c r="R116" s="281"/>
      <c r="S116" s="1039">
        <v>18.35225840118577</v>
      </c>
      <c r="T116" s="1047">
        <v>1.3487246428626916</v>
      </c>
    </row>
    <row r="117" spans="2:20" ht="14.25">
      <c r="B117" s="1470"/>
      <c r="C117" s="460" t="s">
        <v>341</v>
      </c>
      <c r="D117" s="435">
        <v>0.7978869904678225</v>
      </c>
      <c r="E117" s="438">
        <v>0.7975375045175231</v>
      </c>
      <c r="F117" s="438">
        <v>0.7983119502547038</v>
      </c>
      <c r="G117" s="438">
        <v>3.5742404406435715</v>
      </c>
      <c r="H117" s="439">
        <v>1.4467048233523299</v>
      </c>
      <c r="I117" s="437">
        <v>0</v>
      </c>
      <c r="J117" s="438">
        <v>0</v>
      </c>
      <c r="K117" s="438">
        <v>0</v>
      </c>
      <c r="L117" s="438">
        <v>0</v>
      </c>
      <c r="M117" s="439">
        <v>0</v>
      </c>
      <c r="N117" s="396"/>
      <c r="O117" s="1039"/>
      <c r="P117" s="1040"/>
      <c r="Q117" s="1041"/>
      <c r="R117" s="281"/>
      <c r="S117" s="1039"/>
      <c r="T117" s="1047"/>
    </row>
    <row r="118" spans="2:20" ht="14.25">
      <c r="B118" s="1470"/>
      <c r="C118" s="460" t="s">
        <v>342</v>
      </c>
      <c r="D118" s="435">
        <v>0</v>
      </c>
      <c r="E118" s="438">
        <v>0</v>
      </c>
      <c r="F118" s="438">
        <v>0</v>
      </c>
      <c r="G118" s="438">
        <v>0</v>
      </c>
      <c r="H118" s="439">
        <v>0</v>
      </c>
      <c r="I118" s="437">
        <v>0</v>
      </c>
      <c r="J118" s="438">
        <v>0</v>
      </c>
      <c r="K118" s="438">
        <v>0</v>
      </c>
      <c r="L118" s="438">
        <v>0</v>
      </c>
      <c r="M118" s="439">
        <v>0</v>
      </c>
      <c r="N118" s="396"/>
      <c r="O118" s="1039"/>
      <c r="P118" s="1040"/>
      <c r="Q118" s="1041"/>
      <c r="R118" s="281"/>
      <c r="S118" s="1039"/>
      <c r="T118" s="1047"/>
    </row>
    <row r="119" spans="2:20" ht="14.25">
      <c r="B119" s="1470"/>
      <c r="C119" s="460" t="s">
        <v>343</v>
      </c>
      <c r="D119" s="435">
        <v>0</v>
      </c>
      <c r="E119" s="438">
        <v>0</v>
      </c>
      <c r="F119" s="438">
        <v>0</v>
      </c>
      <c r="G119" s="438">
        <v>0</v>
      </c>
      <c r="H119" s="439">
        <v>0</v>
      </c>
      <c r="I119" s="437">
        <v>0</v>
      </c>
      <c r="J119" s="438">
        <v>0</v>
      </c>
      <c r="K119" s="438">
        <v>0</v>
      </c>
      <c r="L119" s="438">
        <v>0</v>
      </c>
      <c r="M119" s="439">
        <v>0</v>
      </c>
      <c r="N119" s="396"/>
      <c r="O119" s="1039"/>
      <c r="P119" s="1040"/>
      <c r="Q119" s="1041"/>
      <c r="R119" s="281"/>
      <c r="S119" s="1039"/>
      <c r="T119" s="1047"/>
    </row>
    <row r="120" spans="2:20" ht="14.25">
      <c r="B120" s="1471"/>
      <c r="C120" s="461" t="s">
        <v>472</v>
      </c>
      <c r="D120" s="462">
        <v>2.6928685928289013</v>
      </c>
      <c r="E120" s="462">
        <v>2.6916890777466405</v>
      </c>
      <c r="F120" s="462">
        <v>2.694302832109625</v>
      </c>
      <c r="G120" s="462">
        <v>11.616281432091608</v>
      </c>
      <c r="H120" s="463">
        <v>10.126933763466308</v>
      </c>
      <c r="I120" s="464">
        <v>6.367840722865988</v>
      </c>
      <c r="J120" s="462">
        <v>5.805924223648875</v>
      </c>
      <c r="K120" s="462">
        <v>5.485353439553006</v>
      </c>
      <c r="L120" s="462">
        <v>5.173325016703122</v>
      </c>
      <c r="M120" s="463">
        <v>5.114845291526601</v>
      </c>
      <c r="N120" s="396"/>
      <c r="O120" s="1039">
        <v>8.078860502685167</v>
      </c>
      <c r="P120" s="1040">
        <v>21.743215195557916</v>
      </c>
      <c r="Q120" s="1041">
        <v>29.822075698243083</v>
      </c>
      <c r="R120" s="281"/>
      <c r="S120" s="1039">
        <v>27.94728869429759</v>
      </c>
      <c r="T120" s="1047">
        <v>-0.0628657449238499</v>
      </c>
    </row>
    <row r="121" spans="2:20" ht="14.25" customHeight="1">
      <c r="B121" s="1468" t="s">
        <v>473</v>
      </c>
      <c r="C121" s="460" t="s">
        <v>339</v>
      </c>
      <c r="D121" s="435">
        <v>0.09973587380847782</v>
      </c>
      <c r="E121" s="438">
        <v>0.49846094032345195</v>
      </c>
      <c r="F121" s="438">
        <v>0.9978899378183798</v>
      </c>
      <c r="G121" s="438">
        <v>3.4625454268734597</v>
      </c>
      <c r="H121" s="439">
        <v>0.667709918470306</v>
      </c>
      <c r="I121" s="437">
        <v>0</v>
      </c>
      <c r="J121" s="438">
        <v>0.10367721827944419</v>
      </c>
      <c r="K121" s="438">
        <v>0.4139889388341892</v>
      </c>
      <c r="L121" s="438">
        <v>0</v>
      </c>
      <c r="M121" s="439">
        <v>0.20876919557251436</v>
      </c>
      <c r="N121" s="396"/>
      <c r="O121" s="1039">
        <v>1.5960867519503097</v>
      </c>
      <c r="P121" s="1040">
        <v>4.130255345343766</v>
      </c>
      <c r="Q121" s="1041">
        <v>5.726342097294076</v>
      </c>
      <c r="R121" s="281"/>
      <c r="S121" s="1039">
        <v>0.7264353526861478</v>
      </c>
      <c r="T121" s="1047">
        <v>-0.8731414679137984</v>
      </c>
    </row>
    <row r="122" spans="2:20" ht="14.25" customHeight="1">
      <c r="B122" s="1469"/>
      <c r="C122" s="460" t="s">
        <v>340</v>
      </c>
      <c r="D122" s="435">
        <v>0</v>
      </c>
      <c r="E122" s="438">
        <v>0</v>
      </c>
      <c r="F122" s="438">
        <v>0</v>
      </c>
      <c r="G122" s="438">
        <v>0</v>
      </c>
      <c r="H122" s="439">
        <v>0</v>
      </c>
      <c r="I122" s="437">
        <v>1.804221538145363</v>
      </c>
      <c r="J122" s="438">
        <v>5.909601441928318</v>
      </c>
      <c r="K122" s="438">
        <v>1.9664474594623982</v>
      </c>
      <c r="L122" s="438">
        <v>11.070915535744682</v>
      </c>
      <c r="M122" s="439">
        <v>6.8893834538929735</v>
      </c>
      <c r="N122" s="396"/>
      <c r="O122" s="1039">
        <v>0</v>
      </c>
      <c r="P122" s="1040">
        <v>0</v>
      </c>
      <c r="Q122" s="1041">
        <v>0</v>
      </c>
      <c r="R122" s="281"/>
      <c r="S122" s="1039">
        <v>27.640569429173738</v>
      </c>
      <c r="T122" s="1047" t="s">
        <v>662</v>
      </c>
    </row>
    <row r="123" spans="2:20" ht="14.25" customHeight="1">
      <c r="B123" s="1469"/>
      <c r="C123" s="460" t="s">
        <v>341</v>
      </c>
      <c r="D123" s="435">
        <v>0</v>
      </c>
      <c r="E123" s="438">
        <v>0</v>
      </c>
      <c r="F123" s="438">
        <v>0</v>
      </c>
      <c r="G123" s="438">
        <v>0</v>
      </c>
      <c r="H123" s="439">
        <v>0.22256997282343535</v>
      </c>
      <c r="I123" s="437">
        <v>0</v>
      </c>
      <c r="J123" s="438">
        <v>0.41470887311777677</v>
      </c>
      <c r="K123" s="438">
        <v>0</v>
      </c>
      <c r="L123" s="438">
        <v>0</v>
      </c>
      <c r="M123" s="439">
        <v>0</v>
      </c>
      <c r="N123" s="396"/>
      <c r="O123" s="1039"/>
      <c r="P123" s="1040"/>
      <c r="Q123" s="1041"/>
      <c r="R123" s="281"/>
      <c r="S123" s="1039"/>
      <c r="T123" s="1047"/>
    </row>
    <row r="124" spans="2:20" ht="14.25" customHeight="1">
      <c r="B124" s="1469"/>
      <c r="C124" s="460" t="s">
        <v>343</v>
      </c>
      <c r="D124" s="435">
        <v>0</v>
      </c>
      <c r="E124" s="438">
        <v>0</v>
      </c>
      <c r="F124" s="438">
        <v>0</v>
      </c>
      <c r="G124" s="438">
        <v>0</v>
      </c>
      <c r="H124" s="439">
        <v>0</v>
      </c>
      <c r="I124" s="437">
        <v>0</v>
      </c>
      <c r="J124" s="438">
        <v>0</v>
      </c>
      <c r="K124" s="438">
        <v>0</v>
      </c>
      <c r="L124" s="438">
        <v>0</v>
      </c>
      <c r="M124" s="439">
        <v>0</v>
      </c>
      <c r="N124" s="396"/>
      <c r="O124" s="1039"/>
      <c r="P124" s="1040"/>
      <c r="Q124" s="1041"/>
      <c r="R124" s="281"/>
      <c r="S124" s="1039"/>
      <c r="T124" s="1047"/>
    </row>
    <row r="125" spans="2:20" ht="14.25" customHeight="1">
      <c r="B125" s="1468" t="s">
        <v>475</v>
      </c>
      <c r="C125" s="460" t="s">
        <v>476</v>
      </c>
      <c r="D125" s="435">
        <v>0</v>
      </c>
      <c r="E125" s="438">
        <v>0</v>
      </c>
      <c r="F125" s="438">
        <v>0</v>
      </c>
      <c r="G125" s="438">
        <v>0</v>
      </c>
      <c r="H125" s="439">
        <v>0</v>
      </c>
      <c r="I125" s="437">
        <v>0</v>
      </c>
      <c r="J125" s="438">
        <v>0</v>
      </c>
      <c r="K125" s="438">
        <v>0</v>
      </c>
      <c r="L125" s="438">
        <v>0</v>
      </c>
      <c r="M125" s="439">
        <v>0</v>
      </c>
      <c r="N125" s="396"/>
      <c r="O125" s="1039">
        <v>0</v>
      </c>
      <c r="P125" s="1040">
        <v>0</v>
      </c>
      <c r="Q125" s="1041">
        <v>0</v>
      </c>
      <c r="R125" s="281"/>
      <c r="S125" s="1039">
        <v>0</v>
      </c>
      <c r="T125" s="1047" t="s">
        <v>662</v>
      </c>
    </row>
    <row r="126" spans="2:20" ht="14.25" customHeight="1">
      <c r="B126" s="1469"/>
      <c r="C126" s="465" t="s">
        <v>477</v>
      </c>
      <c r="D126" s="435">
        <v>0</v>
      </c>
      <c r="E126" s="438">
        <v>0</v>
      </c>
      <c r="F126" s="438">
        <v>0</v>
      </c>
      <c r="G126" s="438">
        <v>0</v>
      </c>
      <c r="H126" s="439">
        <v>0</v>
      </c>
      <c r="I126" s="437">
        <v>0.21226135742886626</v>
      </c>
      <c r="J126" s="438">
        <v>0</v>
      </c>
      <c r="K126" s="438">
        <v>0</v>
      </c>
      <c r="L126" s="438">
        <v>0.10346650033406245</v>
      </c>
      <c r="M126" s="439">
        <v>0.31315379335877147</v>
      </c>
      <c r="N126" s="396"/>
      <c r="O126" s="1039">
        <v>0</v>
      </c>
      <c r="P126" s="1040">
        <v>0</v>
      </c>
      <c r="Q126" s="1041">
        <v>0</v>
      </c>
      <c r="R126" s="281"/>
      <c r="S126" s="1039">
        <v>0.6288816511217001</v>
      </c>
      <c r="T126" s="1047" t="s">
        <v>662</v>
      </c>
    </row>
    <row r="127" spans="2:20" ht="14.25" customHeight="1">
      <c r="B127" s="1469"/>
      <c r="C127" s="460" t="s">
        <v>341</v>
      </c>
      <c r="D127" s="435">
        <v>0</v>
      </c>
      <c r="E127" s="435">
        <v>0</v>
      </c>
      <c r="F127" s="435">
        <v>0</v>
      </c>
      <c r="G127" s="435">
        <v>0</v>
      </c>
      <c r="H127" s="436">
        <v>0</v>
      </c>
      <c r="I127" s="437">
        <v>0</v>
      </c>
      <c r="J127" s="435">
        <v>0</v>
      </c>
      <c r="K127" s="435">
        <v>0</v>
      </c>
      <c r="L127" s="435">
        <v>0.2069330006681249</v>
      </c>
      <c r="M127" s="436">
        <v>0</v>
      </c>
      <c r="N127" s="396"/>
      <c r="O127" s="1039"/>
      <c r="P127" s="1040"/>
      <c r="Q127" s="1041"/>
      <c r="R127" s="281"/>
      <c r="S127" s="1039"/>
      <c r="T127" s="1047"/>
    </row>
    <row r="128" spans="2:20" ht="14.25" customHeight="1">
      <c r="B128" s="1469"/>
      <c r="C128" s="460" t="s">
        <v>478</v>
      </c>
      <c r="D128" s="435">
        <v>0</v>
      </c>
      <c r="E128" s="435">
        <v>0</v>
      </c>
      <c r="F128" s="435">
        <v>0</v>
      </c>
      <c r="G128" s="435">
        <v>0</v>
      </c>
      <c r="H128" s="436">
        <v>0</v>
      </c>
      <c r="I128" s="437">
        <v>0</v>
      </c>
      <c r="J128" s="435">
        <v>0</v>
      </c>
      <c r="K128" s="435">
        <v>0</v>
      </c>
      <c r="L128" s="435">
        <v>0.8277320026724996</v>
      </c>
      <c r="M128" s="436">
        <v>0</v>
      </c>
      <c r="N128" s="396"/>
      <c r="O128" s="1039"/>
      <c r="P128" s="1040"/>
      <c r="Q128" s="1041"/>
      <c r="R128" s="281"/>
      <c r="S128" s="1039"/>
      <c r="T128" s="1047"/>
    </row>
    <row r="129" spans="2:20" ht="15">
      <c r="B129" s="1048" t="s">
        <v>479</v>
      </c>
      <c r="C129" s="461" t="s">
        <v>472</v>
      </c>
      <c r="D129" s="462">
        <v>0.09973587380847782</v>
      </c>
      <c r="E129" s="462">
        <v>0.49846094032345195</v>
      </c>
      <c r="F129" s="462">
        <v>0.9978899378183798</v>
      </c>
      <c r="G129" s="462">
        <v>3.4625454268734597</v>
      </c>
      <c r="H129" s="463">
        <v>0.8902798912937414</v>
      </c>
      <c r="I129" s="464">
        <v>2.0164828955742293</v>
      </c>
      <c r="J129" s="462">
        <v>6.427987533325539</v>
      </c>
      <c r="K129" s="462">
        <v>2.3804363982965873</v>
      </c>
      <c r="L129" s="462">
        <v>12.209047039419369</v>
      </c>
      <c r="M129" s="463">
        <v>7.411306442824259</v>
      </c>
      <c r="N129" s="396"/>
      <c r="O129" s="1039">
        <v>1.5960867519503097</v>
      </c>
      <c r="P129" s="1040">
        <v>4.352825318167201</v>
      </c>
      <c r="Q129" s="1041">
        <v>5.948912070117511</v>
      </c>
      <c r="R129" s="281"/>
      <c r="S129" s="1039">
        <v>30.445260309439984</v>
      </c>
      <c r="T129" s="1047">
        <v>4.117786235633264</v>
      </c>
    </row>
    <row r="130" spans="2:20" ht="14.25" customHeight="1">
      <c r="B130" s="1468" t="s">
        <v>480</v>
      </c>
      <c r="C130" s="460" t="s">
        <v>339</v>
      </c>
      <c r="D130" s="435">
        <v>0</v>
      </c>
      <c r="E130" s="438">
        <v>0</v>
      </c>
      <c r="F130" s="438">
        <v>0</v>
      </c>
      <c r="G130" s="438">
        <v>0</v>
      </c>
      <c r="H130" s="439">
        <v>0</v>
      </c>
      <c r="I130" s="437">
        <v>0</v>
      </c>
      <c r="J130" s="438">
        <v>0</v>
      </c>
      <c r="K130" s="438">
        <v>0</v>
      </c>
      <c r="L130" s="438">
        <v>0</v>
      </c>
      <c r="M130" s="439">
        <v>0</v>
      </c>
      <c r="N130" s="396"/>
      <c r="O130" s="1039">
        <v>0</v>
      </c>
      <c r="P130" s="1040">
        <v>0</v>
      </c>
      <c r="Q130" s="1041">
        <v>0</v>
      </c>
      <c r="R130" s="281"/>
      <c r="S130" s="1039">
        <v>0</v>
      </c>
      <c r="T130" s="1047" t="s">
        <v>662</v>
      </c>
    </row>
    <row r="131" spans="2:20" ht="14.25" customHeight="1">
      <c r="B131" s="1469"/>
      <c r="C131" s="460" t="s">
        <v>340</v>
      </c>
      <c r="D131" s="435">
        <v>0</v>
      </c>
      <c r="E131" s="438">
        <v>0</v>
      </c>
      <c r="F131" s="438">
        <v>0</v>
      </c>
      <c r="G131" s="438">
        <v>0</v>
      </c>
      <c r="H131" s="439">
        <v>0</v>
      </c>
      <c r="I131" s="437">
        <v>0</v>
      </c>
      <c r="J131" s="438">
        <v>0</v>
      </c>
      <c r="K131" s="438">
        <v>0</v>
      </c>
      <c r="L131" s="438">
        <v>0</v>
      </c>
      <c r="M131" s="439">
        <v>0</v>
      </c>
      <c r="N131" s="396"/>
      <c r="O131" s="1039">
        <v>0</v>
      </c>
      <c r="P131" s="1040">
        <v>0</v>
      </c>
      <c r="Q131" s="1041">
        <v>0</v>
      </c>
      <c r="R131" s="281"/>
      <c r="S131" s="1039">
        <v>0</v>
      </c>
      <c r="T131" s="1047" t="s">
        <v>662</v>
      </c>
    </row>
    <row r="132" spans="2:20" ht="14.25" customHeight="1">
      <c r="B132" s="1469"/>
      <c r="C132" s="460" t="s">
        <v>341</v>
      </c>
      <c r="D132" s="435">
        <v>0</v>
      </c>
      <c r="E132" s="438">
        <v>0</v>
      </c>
      <c r="F132" s="438">
        <v>0</v>
      </c>
      <c r="G132" s="438">
        <v>0</v>
      </c>
      <c r="H132" s="439">
        <v>0</v>
      </c>
      <c r="I132" s="437">
        <v>0</v>
      </c>
      <c r="J132" s="438">
        <v>0</v>
      </c>
      <c r="K132" s="438">
        <v>0</v>
      </c>
      <c r="L132" s="438">
        <v>0</v>
      </c>
      <c r="M132" s="439">
        <v>0</v>
      </c>
      <c r="N132" s="396"/>
      <c r="O132" s="1039"/>
      <c r="P132" s="1040"/>
      <c r="Q132" s="1041"/>
      <c r="R132" s="281"/>
      <c r="S132" s="1039"/>
      <c r="T132" s="1047"/>
    </row>
    <row r="133" spans="2:20" ht="14.25" customHeight="1">
      <c r="B133" s="1469"/>
      <c r="C133" s="460" t="s">
        <v>343</v>
      </c>
      <c r="D133" s="435">
        <v>0</v>
      </c>
      <c r="E133" s="438">
        <v>0</v>
      </c>
      <c r="F133" s="438">
        <v>0</v>
      </c>
      <c r="G133" s="438">
        <v>0</v>
      </c>
      <c r="H133" s="439">
        <v>0</v>
      </c>
      <c r="I133" s="437">
        <v>0</v>
      </c>
      <c r="J133" s="438">
        <v>0</v>
      </c>
      <c r="K133" s="438">
        <v>0</v>
      </c>
      <c r="L133" s="438">
        <v>0</v>
      </c>
      <c r="M133" s="439">
        <v>0</v>
      </c>
      <c r="N133" s="396"/>
      <c r="O133" s="1039"/>
      <c r="P133" s="1040"/>
      <c r="Q133" s="1041"/>
      <c r="R133" s="281"/>
      <c r="S133" s="1039"/>
      <c r="T133" s="1047"/>
    </row>
    <row r="134" spans="2:20" ht="14.25" customHeight="1">
      <c r="B134" s="1468" t="s">
        <v>481</v>
      </c>
      <c r="C134" s="460" t="s">
        <v>476</v>
      </c>
      <c r="D134" s="435">
        <v>0</v>
      </c>
      <c r="E134" s="438">
        <v>0</v>
      </c>
      <c r="F134" s="438">
        <v>0</v>
      </c>
      <c r="G134" s="438">
        <v>0</v>
      </c>
      <c r="H134" s="439">
        <v>0</v>
      </c>
      <c r="I134" s="437">
        <v>0</v>
      </c>
      <c r="J134" s="438">
        <v>0</v>
      </c>
      <c r="K134" s="438">
        <v>0</v>
      </c>
      <c r="L134" s="438">
        <v>0</v>
      </c>
      <c r="M134" s="439">
        <v>0</v>
      </c>
      <c r="N134" s="396"/>
      <c r="O134" s="1039"/>
      <c r="P134" s="1040"/>
      <c r="Q134" s="1041"/>
      <c r="R134" s="281"/>
      <c r="S134" s="1039"/>
      <c r="T134" s="1047"/>
    </row>
    <row r="135" spans="2:20" ht="14.25" customHeight="1">
      <c r="B135" s="1469"/>
      <c r="C135" s="465" t="s">
        <v>477</v>
      </c>
      <c r="D135" s="435">
        <v>0.7978869904678225</v>
      </c>
      <c r="E135" s="438">
        <v>0.8972296925822135</v>
      </c>
      <c r="F135" s="438">
        <v>7.783541514983361</v>
      </c>
      <c r="G135" s="438">
        <v>8.37712603275837</v>
      </c>
      <c r="H135" s="439">
        <v>3.783689537998401</v>
      </c>
      <c r="I135" s="437">
        <v>2.1226135742886623</v>
      </c>
      <c r="J135" s="438">
        <v>0</v>
      </c>
      <c r="K135" s="438">
        <v>0.7244806429598311</v>
      </c>
      <c r="L135" s="438">
        <v>0</v>
      </c>
      <c r="M135" s="439">
        <v>4.384153107022802</v>
      </c>
      <c r="N135" s="396"/>
      <c r="O135" s="1039">
        <v>9.478658198033397</v>
      </c>
      <c r="P135" s="1040">
        <v>12.160815570756771</v>
      </c>
      <c r="Q135" s="1041">
        <v>21.63947376879017</v>
      </c>
      <c r="R135" s="281"/>
      <c r="S135" s="1039">
        <v>7.231247324271295</v>
      </c>
      <c r="T135" s="1047">
        <v>-0.6658307220621668</v>
      </c>
    </row>
    <row r="136" spans="2:20" ht="14.25" customHeight="1">
      <c r="B136" s="1469"/>
      <c r="C136" s="460" t="s">
        <v>341</v>
      </c>
      <c r="D136" s="435">
        <v>0</v>
      </c>
      <c r="E136" s="438">
        <v>0</v>
      </c>
      <c r="F136" s="438">
        <v>0</v>
      </c>
      <c r="G136" s="438">
        <v>0</v>
      </c>
      <c r="H136" s="439">
        <v>3.115979619528095</v>
      </c>
      <c r="I136" s="437">
        <v>0</v>
      </c>
      <c r="J136" s="438">
        <v>0</v>
      </c>
      <c r="K136" s="438">
        <v>0</v>
      </c>
      <c r="L136" s="438">
        <v>0</v>
      </c>
      <c r="M136" s="439">
        <v>0</v>
      </c>
      <c r="N136" s="396"/>
      <c r="O136" s="1039"/>
      <c r="P136" s="1040"/>
      <c r="Q136" s="1041"/>
      <c r="R136" s="281"/>
      <c r="S136" s="1039"/>
      <c r="T136" s="1047"/>
    </row>
    <row r="137" spans="2:20" ht="14.25" customHeight="1">
      <c r="B137" s="1469"/>
      <c r="C137" s="460" t="s">
        <v>478</v>
      </c>
      <c r="D137" s="435">
        <v>0</v>
      </c>
      <c r="E137" s="438">
        <v>0</v>
      </c>
      <c r="F137" s="438">
        <v>0</v>
      </c>
      <c r="G137" s="438">
        <v>0</v>
      </c>
      <c r="H137" s="439">
        <v>0</v>
      </c>
      <c r="I137" s="437">
        <v>0.6367840722865987</v>
      </c>
      <c r="J137" s="438">
        <v>0</v>
      </c>
      <c r="K137" s="438">
        <v>0</v>
      </c>
      <c r="L137" s="438">
        <v>0</v>
      </c>
      <c r="M137" s="439">
        <v>0</v>
      </c>
      <c r="N137" s="396"/>
      <c r="O137" s="1039">
        <v>0</v>
      </c>
      <c r="P137" s="1040">
        <v>0</v>
      </c>
      <c r="Q137" s="1041">
        <v>0</v>
      </c>
      <c r="R137" s="281"/>
      <c r="S137" s="1039">
        <v>0.6367840722865987</v>
      </c>
      <c r="T137" s="1047" t="s">
        <v>662</v>
      </c>
    </row>
    <row r="138" spans="2:20" ht="15" thickBot="1">
      <c r="B138" s="466" t="s">
        <v>345</v>
      </c>
      <c r="C138" s="467" t="s">
        <v>472</v>
      </c>
      <c r="D138" s="468">
        <v>0.7978869904678225</v>
      </c>
      <c r="E138" s="468">
        <v>0.8972296925822135</v>
      </c>
      <c r="F138" s="468">
        <v>7.783541514983361</v>
      </c>
      <c r="G138" s="468">
        <v>8.37712603275837</v>
      </c>
      <c r="H138" s="469">
        <v>6.899669157526496</v>
      </c>
      <c r="I138" s="470">
        <v>2.7593976465752608</v>
      </c>
      <c r="J138" s="468">
        <v>0</v>
      </c>
      <c r="K138" s="468">
        <v>0.7244806429598311</v>
      </c>
      <c r="L138" s="468">
        <v>0</v>
      </c>
      <c r="M138" s="469">
        <v>4.384153107022802</v>
      </c>
      <c r="N138" s="396"/>
      <c r="O138" s="1043">
        <v>9.478658198033397</v>
      </c>
      <c r="P138" s="1044">
        <v>15.276795190284867</v>
      </c>
      <c r="Q138" s="1045">
        <v>24.755453388318266</v>
      </c>
      <c r="R138" s="281"/>
      <c r="S138" s="1043">
        <v>7.868031396557893</v>
      </c>
      <c r="T138" s="1049">
        <v>-0.6821697719230341</v>
      </c>
    </row>
    <row r="139" spans="2:20" ht="14.25">
      <c r="B139" s="396"/>
      <c r="C139" s="396"/>
      <c r="D139" s="396"/>
      <c r="E139" s="396"/>
      <c r="F139" s="396"/>
      <c r="G139" s="396"/>
      <c r="H139" s="396"/>
      <c r="I139" s="396"/>
      <c r="J139" s="396"/>
      <c r="K139" s="396"/>
      <c r="L139" s="396"/>
      <c r="M139" s="396"/>
      <c r="N139" s="396"/>
      <c r="O139" s="396"/>
      <c r="P139" s="396"/>
      <c r="Q139" s="396"/>
      <c r="R139" s="429"/>
      <c r="S139" s="429"/>
      <c r="T139" s="429"/>
    </row>
  </sheetData>
  <sheetProtection/>
  <mergeCells count="24">
    <mergeCell ref="B125:B128"/>
    <mergeCell ref="B130:B133"/>
    <mergeCell ref="B50:B55"/>
    <mergeCell ref="B56:B61"/>
    <mergeCell ref="B62:B67"/>
    <mergeCell ref="B134:B137"/>
    <mergeCell ref="B76:B77"/>
    <mergeCell ref="B78:B79"/>
    <mergeCell ref="B80:B82"/>
    <mergeCell ref="B83:B88"/>
    <mergeCell ref="B89:B94"/>
    <mergeCell ref="B95:B100"/>
    <mergeCell ref="B109:B114"/>
    <mergeCell ref="B115:B120"/>
    <mergeCell ref="B121:B124"/>
    <mergeCell ref="B43:B44"/>
    <mergeCell ref="B45:B46"/>
    <mergeCell ref="B47:B49"/>
    <mergeCell ref="B10:B11"/>
    <mergeCell ref="B12:B13"/>
    <mergeCell ref="B14:B16"/>
    <mergeCell ref="B17:B22"/>
    <mergeCell ref="B23:B28"/>
    <mergeCell ref="B29:B34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5"/>
  <sheetViews>
    <sheetView zoomScale="90" zoomScaleNormal="90" zoomScalePageLayoutView="0" workbookViewId="0" topLeftCell="A1">
      <selection activeCell="G22" sqref="G22"/>
    </sheetView>
  </sheetViews>
  <sheetFormatPr defaultColWidth="11.42187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862" t="s">
        <v>805</v>
      </c>
      <c r="F1" s="857" t="s">
        <v>55</v>
      </c>
    </row>
    <row r="2" ht="12.75">
      <c r="A2" s="862"/>
    </row>
    <row r="3" ht="12.75">
      <c r="A3" s="862" t="s">
        <v>196</v>
      </c>
    </row>
    <row r="4" ht="12.75">
      <c r="A4" s="862"/>
    </row>
    <row r="6" ht="13.5" thickBot="1"/>
    <row r="7" spans="2:10" ht="12.75">
      <c r="B7" s="974"/>
      <c r="C7" s="975"/>
      <c r="D7" s="975"/>
      <c r="E7" s="975" t="s">
        <v>220</v>
      </c>
      <c r="F7" s="976" t="s">
        <v>531</v>
      </c>
      <c r="G7" s="977" t="s">
        <v>221</v>
      </c>
      <c r="H7" s="471"/>
      <c r="I7" s="977" t="s">
        <v>222</v>
      </c>
      <c r="J7" s="471"/>
    </row>
    <row r="8" spans="2:11" ht="51">
      <c r="B8" s="978"/>
      <c r="C8" s="979"/>
      <c r="D8" s="979"/>
      <c r="E8" s="979"/>
      <c r="F8" s="980"/>
      <c r="G8" s="981" t="s">
        <v>223</v>
      </c>
      <c r="H8" s="982" t="s">
        <v>515</v>
      </c>
      <c r="I8" s="981" t="s">
        <v>223</v>
      </c>
      <c r="J8" s="982" t="s">
        <v>515</v>
      </c>
      <c r="K8" s="983" t="s">
        <v>661</v>
      </c>
    </row>
    <row r="9" spans="2:11" ht="13.5" thickBot="1">
      <c r="B9" s="984"/>
      <c r="C9" s="985"/>
      <c r="D9" s="985"/>
      <c r="E9" s="985"/>
      <c r="F9" s="986"/>
      <c r="G9" s="987" t="s">
        <v>516</v>
      </c>
      <c r="H9" s="988" t="s">
        <v>516</v>
      </c>
      <c r="I9" s="987" t="s">
        <v>516</v>
      </c>
      <c r="J9" s="988" t="s">
        <v>516</v>
      </c>
      <c r="K9" s="988" t="s">
        <v>516</v>
      </c>
    </row>
    <row r="10" spans="2:10" ht="12.75">
      <c r="B10" s="989"/>
      <c r="C10" s="990" t="s">
        <v>166</v>
      </c>
      <c r="D10" s="990"/>
      <c r="E10" s="991"/>
      <c r="F10" s="992"/>
      <c r="G10" s="993"/>
      <c r="H10" s="994"/>
      <c r="I10" s="993"/>
      <c r="J10" s="994"/>
    </row>
    <row r="11" spans="2:10" ht="12.75">
      <c r="B11" s="989"/>
      <c r="C11" s="991"/>
      <c r="D11" s="995" t="s">
        <v>65</v>
      </c>
      <c r="E11" s="991"/>
      <c r="F11" s="996"/>
      <c r="G11" s="997"/>
      <c r="H11" s="998"/>
      <c r="I11" s="997"/>
      <c r="J11" s="998"/>
    </row>
    <row r="12" spans="2:11" ht="12.75">
      <c r="B12" s="999"/>
      <c r="C12" s="991"/>
      <c r="D12" s="991"/>
      <c r="E12" s="991" t="s">
        <v>167</v>
      </c>
      <c r="F12" s="1000" t="s">
        <v>18</v>
      </c>
      <c r="G12" s="472">
        <v>26.001</v>
      </c>
      <c r="H12" s="473">
        <v>2.7995060090339408</v>
      </c>
      <c r="I12" s="472">
        <v>35.096</v>
      </c>
      <c r="J12" s="473">
        <v>4.413910107069533</v>
      </c>
      <c r="K12" s="1001">
        <f>SUM(I12:J12)</f>
        <v>39.50991010706953</v>
      </c>
    </row>
    <row r="13" spans="2:11" ht="12.75">
      <c r="B13" s="999"/>
      <c r="C13" s="991"/>
      <c r="D13" s="991"/>
      <c r="E13" s="991" t="s">
        <v>168</v>
      </c>
      <c r="F13" s="1000" t="s">
        <v>360</v>
      </c>
      <c r="G13" s="472">
        <v>0.21400000000000002</v>
      </c>
      <c r="H13" s="473">
        <v>0.023041201720443952</v>
      </c>
      <c r="I13" s="472">
        <v>0.42800000000000005</v>
      </c>
      <c r="J13" s="473">
        <v>0.05382817203743333</v>
      </c>
      <c r="K13" s="1001">
        <f>SUM(I13:J13)</f>
        <v>0.4818281720374334</v>
      </c>
    </row>
    <row r="14" spans="2:10" ht="12.75">
      <c r="B14" s="999"/>
      <c r="C14" s="991"/>
      <c r="D14" s="991"/>
      <c r="E14" s="991"/>
      <c r="F14" s="1000"/>
      <c r="G14" s="1002"/>
      <c r="H14" s="1003"/>
      <c r="I14" s="1002"/>
      <c r="J14" s="1003"/>
    </row>
    <row r="15" spans="2:10" ht="12.75">
      <c r="B15" s="999"/>
      <c r="C15" s="991"/>
      <c r="D15" s="995" t="s">
        <v>361</v>
      </c>
      <c r="E15" s="991"/>
      <c r="F15" s="1000"/>
      <c r="G15" s="1002"/>
      <c r="H15" s="1003"/>
      <c r="I15" s="1002"/>
      <c r="J15" s="1003"/>
    </row>
    <row r="16" spans="2:11" ht="12.75">
      <c r="B16" s="999"/>
      <c r="C16" s="991"/>
      <c r="D16" s="991"/>
      <c r="E16" s="991" t="s">
        <v>362</v>
      </c>
      <c r="F16" s="1000" t="s">
        <v>360</v>
      </c>
      <c r="G16" s="472">
        <v>0</v>
      </c>
      <c r="H16" s="473">
        <v>0</v>
      </c>
      <c r="I16" s="472">
        <v>0</v>
      </c>
      <c r="J16" s="473">
        <v>0</v>
      </c>
      <c r="K16" s="1001">
        <f>SUM(I16:J16)</f>
        <v>0</v>
      </c>
    </row>
    <row r="17" spans="2:10" ht="12.75">
      <c r="B17" s="999"/>
      <c r="C17" s="991"/>
      <c r="D17" s="991"/>
      <c r="E17" s="991"/>
      <c r="F17" s="1000"/>
      <c r="G17" s="1002"/>
      <c r="H17" s="1003"/>
      <c r="I17" s="1002"/>
      <c r="J17" s="1003"/>
    </row>
    <row r="18" spans="2:10" ht="12.75">
      <c r="B18" s="999"/>
      <c r="C18" s="991"/>
      <c r="D18" s="995" t="s">
        <v>612</v>
      </c>
      <c r="E18" s="991"/>
      <c r="F18" s="1000"/>
      <c r="G18" s="1002"/>
      <c r="H18" s="1003"/>
      <c r="I18" s="1002"/>
      <c r="J18" s="1003"/>
    </row>
    <row r="19" spans="2:11" ht="12.75">
      <c r="B19" s="999"/>
      <c r="C19" s="991"/>
      <c r="D19" s="995"/>
      <c r="E19" s="991" t="s">
        <v>545</v>
      </c>
      <c r="F19" s="1000" t="s">
        <v>18</v>
      </c>
      <c r="G19" s="472">
        <v>103.46900000000001</v>
      </c>
      <c r="H19" s="473">
        <v>11.14042103183465</v>
      </c>
      <c r="I19" s="472">
        <v>107</v>
      </c>
      <c r="J19" s="473">
        <v>13.457043009358333</v>
      </c>
      <c r="K19" s="1001">
        <f>SUM(I19:J19)</f>
        <v>120.45704300935833</v>
      </c>
    </row>
    <row r="20" spans="2:11" ht="12.75">
      <c r="B20" s="999"/>
      <c r="C20" s="991"/>
      <c r="D20" s="995"/>
      <c r="E20" s="991" t="s">
        <v>213</v>
      </c>
      <c r="F20" s="1000" t="s">
        <v>18</v>
      </c>
      <c r="G20" s="472">
        <v>103.46900000000001</v>
      </c>
      <c r="H20" s="473">
        <v>11.14042103183465</v>
      </c>
      <c r="I20" s="472">
        <v>107</v>
      </c>
      <c r="J20" s="473">
        <v>13.457043009358333</v>
      </c>
      <c r="K20" s="1001">
        <f>SUM(I20:J20)</f>
        <v>120.45704300935833</v>
      </c>
    </row>
    <row r="21" spans="2:11" ht="12.75">
      <c r="B21" s="999"/>
      <c r="C21" s="991"/>
      <c r="D21" s="995"/>
      <c r="E21" s="991" t="s">
        <v>214</v>
      </c>
      <c r="F21" s="1000" t="s">
        <v>18</v>
      </c>
      <c r="G21" s="472">
        <v>103.46900000000001</v>
      </c>
      <c r="H21" s="473">
        <v>11.14042103183465</v>
      </c>
      <c r="I21" s="472">
        <v>107</v>
      </c>
      <c r="J21" s="473">
        <v>13.457043009358333</v>
      </c>
      <c r="K21" s="1001">
        <f>SUM(I21:J21)</f>
        <v>120.45704300935833</v>
      </c>
    </row>
    <row r="22" spans="2:11" ht="12.75">
      <c r="B22" s="999"/>
      <c r="C22" s="991"/>
      <c r="D22" s="995"/>
      <c r="E22" s="991" t="s">
        <v>215</v>
      </c>
      <c r="F22" s="1000" t="s">
        <v>360</v>
      </c>
      <c r="G22" s="472">
        <v>1.05982965</v>
      </c>
      <c r="H22" s="473">
        <v>0.11411097549045567</v>
      </c>
      <c r="I22" s="472">
        <v>1.4308254</v>
      </c>
      <c r="J22" s="473">
        <v>0.1799502705297415</v>
      </c>
      <c r="K22" s="1001">
        <f>SUM(I22:J22)</f>
        <v>1.6107756705297416</v>
      </c>
    </row>
    <row r="23" spans="2:10" ht="12.75">
      <c r="B23" s="999"/>
      <c r="C23" s="991"/>
      <c r="D23" s="991"/>
      <c r="E23" s="991"/>
      <c r="F23" s="1000"/>
      <c r="G23" s="1002"/>
      <c r="H23" s="1003"/>
      <c r="I23" s="1002"/>
      <c r="J23" s="1003"/>
    </row>
    <row r="24" spans="2:10" ht="12.75">
      <c r="B24" s="999"/>
      <c r="C24" s="991"/>
      <c r="D24" s="995" t="s">
        <v>216</v>
      </c>
      <c r="E24" s="991"/>
      <c r="F24" s="1000"/>
      <c r="G24" s="1002"/>
      <c r="H24" s="1003"/>
      <c r="I24" s="1002"/>
      <c r="J24" s="1003"/>
    </row>
    <row r="25" spans="2:11" ht="12.75">
      <c r="B25" s="999"/>
      <c r="C25" s="991"/>
      <c r="D25" s="995"/>
      <c r="E25" s="991" t="s">
        <v>217</v>
      </c>
      <c r="F25" s="1000" t="s">
        <v>360</v>
      </c>
      <c r="G25" s="472">
        <v>3.4240000000000004</v>
      </c>
      <c r="H25" s="473">
        <v>0.36865922752710323</v>
      </c>
      <c r="I25" s="472">
        <v>4.815</v>
      </c>
      <c r="J25" s="473">
        <v>0.6055669354211249</v>
      </c>
      <c r="K25" s="1001">
        <f>SUM(I25:J25)</f>
        <v>5.420566935421125</v>
      </c>
    </row>
    <row r="26" spans="2:11" ht="12.75">
      <c r="B26" s="999"/>
      <c r="C26" s="991"/>
      <c r="D26" s="995"/>
      <c r="E26" s="991" t="s">
        <v>218</v>
      </c>
      <c r="F26" s="1000" t="s">
        <v>360</v>
      </c>
      <c r="G26" s="472">
        <v>3.4240000000000004</v>
      </c>
      <c r="H26" s="473">
        <v>0.36865922752710323</v>
      </c>
      <c r="I26" s="472">
        <v>4.815</v>
      </c>
      <c r="J26" s="473">
        <v>0.6055669354211249</v>
      </c>
      <c r="K26" s="1001">
        <f>SUM(I26:J26)</f>
        <v>5.420566935421125</v>
      </c>
    </row>
    <row r="27" spans="2:11" ht="12.75">
      <c r="B27" s="999"/>
      <c r="C27" s="991"/>
      <c r="D27" s="995"/>
      <c r="E27" s="991" t="s">
        <v>757</v>
      </c>
      <c r="F27" s="1000" t="s">
        <v>360</v>
      </c>
      <c r="G27" s="472">
        <v>3.4240000000000004</v>
      </c>
      <c r="H27" s="473">
        <v>0.36865922752710323</v>
      </c>
      <c r="I27" s="472">
        <v>4.815</v>
      </c>
      <c r="J27" s="473">
        <v>0.6055669354211249</v>
      </c>
      <c r="K27" s="1001">
        <f>SUM(I27:J27)</f>
        <v>5.420566935421125</v>
      </c>
    </row>
    <row r="28" spans="2:11" ht="12.75">
      <c r="B28" s="999"/>
      <c r="C28" s="991"/>
      <c r="D28" s="995"/>
      <c r="E28" s="991" t="s">
        <v>758</v>
      </c>
      <c r="F28" s="1000" t="s">
        <v>360</v>
      </c>
      <c r="G28" s="472">
        <v>3.1029999999999998</v>
      </c>
      <c r="H28" s="473">
        <v>0.3340974249464373</v>
      </c>
      <c r="I28" s="472">
        <v>4.066</v>
      </c>
      <c r="J28" s="473">
        <v>0.5113676343556166</v>
      </c>
      <c r="K28" s="1001">
        <f>SUM(I28:J28)</f>
        <v>4.577367634355617</v>
      </c>
    </row>
    <row r="29" spans="2:10" ht="12.75">
      <c r="B29" s="999"/>
      <c r="C29" s="991"/>
      <c r="D29" s="995"/>
      <c r="E29" s="991" t="s">
        <v>649</v>
      </c>
      <c r="F29" s="1000" t="s">
        <v>360</v>
      </c>
      <c r="G29" s="1004"/>
      <c r="H29" s="1005"/>
      <c r="I29" s="1004"/>
      <c r="J29" s="1005"/>
    </row>
    <row r="30" spans="2:10" ht="12.75">
      <c r="B30" s="999"/>
      <c r="C30" s="991"/>
      <c r="D30" s="995"/>
      <c r="E30" s="991" t="s">
        <v>650</v>
      </c>
      <c r="F30" s="1000" t="s">
        <v>360</v>
      </c>
      <c r="G30" s="1004"/>
      <c r="H30" s="1005"/>
      <c r="I30" s="1004"/>
      <c r="J30" s="1005"/>
    </row>
    <row r="31" spans="2:10" ht="13.5" thickBot="1">
      <c r="B31" s="984"/>
      <c r="C31" s="985"/>
      <c r="D31" s="985"/>
      <c r="E31" s="985"/>
      <c r="F31" s="474"/>
      <c r="G31" s="1006"/>
      <c r="H31" s="1007"/>
      <c r="I31" s="1006"/>
      <c r="J31" s="1007"/>
    </row>
    <row r="32" spans="2:10" ht="12.75">
      <c r="B32" s="1008"/>
      <c r="C32" s="1009" t="s">
        <v>651</v>
      </c>
      <c r="D32" s="1009"/>
      <c r="E32" s="1010"/>
      <c r="F32" s="1011"/>
      <c r="G32" s="1002"/>
      <c r="H32" s="1003"/>
      <c r="I32" s="1002"/>
      <c r="J32" s="1003"/>
    </row>
    <row r="33" spans="2:10" ht="12.75">
      <c r="B33" s="999"/>
      <c r="C33" s="991"/>
      <c r="D33" s="995" t="s">
        <v>65</v>
      </c>
      <c r="E33" s="991"/>
      <c r="F33" s="1011"/>
      <c r="G33" s="1002"/>
      <c r="H33" s="1003"/>
      <c r="I33" s="1002"/>
      <c r="J33" s="1003"/>
    </row>
    <row r="34" spans="2:11" ht="12.75">
      <c r="B34" s="999"/>
      <c r="C34" s="991"/>
      <c r="D34" s="995"/>
      <c r="E34" s="991" t="s">
        <v>652</v>
      </c>
      <c r="F34" s="1000" t="s">
        <v>18</v>
      </c>
      <c r="G34" s="472">
        <v>30.387999999999998</v>
      </c>
      <c r="H34" s="473">
        <v>3.2718506443030413</v>
      </c>
      <c r="I34" s="472">
        <v>36.272999999999996</v>
      </c>
      <c r="J34" s="473">
        <v>4.561937580172475</v>
      </c>
      <c r="K34" s="1001">
        <f>SUM(I34:J34)</f>
        <v>40.83493758017247</v>
      </c>
    </row>
    <row r="35" spans="2:11" ht="12.75">
      <c r="B35" s="999"/>
      <c r="C35" s="991"/>
      <c r="D35" s="995"/>
      <c r="E35" s="991" t="s">
        <v>653</v>
      </c>
      <c r="F35" s="1000" t="s">
        <v>18</v>
      </c>
      <c r="G35" s="472">
        <v>30.387999999999998</v>
      </c>
      <c r="H35" s="473">
        <v>3.2718506443030413</v>
      </c>
      <c r="I35" s="472">
        <v>36.272999999999996</v>
      </c>
      <c r="J35" s="473">
        <v>4.561937580172475</v>
      </c>
      <c r="K35" s="1001">
        <f>SUM(I35:J35)</f>
        <v>40.83493758017247</v>
      </c>
    </row>
    <row r="36" spans="2:11" ht="12.75">
      <c r="B36" s="999"/>
      <c r="C36" s="991"/>
      <c r="D36" s="991"/>
      <c r="E36" s="991" t="s">
        <v>654</v>
      </c>
      <c r="F36" s="1000" t="s">
        <v>18</v>
      </c>
      <c r="G36" s="472">
        <v>0</v>
      </c>
      <c r="H36" s="473">
        <v>0</v>
      </c>
      <c r="I36" s="472">
        <v>0</v>
      </c>
      <c r="J36" s="473">
        <v>0</v>
      </c>
      <c r="K36" s="1001">
        <f>SUM(I36:J36)</f>
        <v>0</v>
      </c>
    </row>
    <row r="37" spans="2:11" ht="12.75">
      <c r="B37" s="999"/>
      <c r="C37" s="991"/>
      <c r="D37" s="991"/>
      <c r="E37" s="991" t="s">
        <v>635</v>
      </c>
      <c r="F37" s="1000" t="s">
        <v>18</v>
      </c>
      <c r="G37" s="472">
        <v>0</v>
      </c>
      <c r="H37" s="473">
        <v>0</v>
      </c>
      <c r="I37" s="472">
        <v>0</v>
      </c>
      <c r="J37" s="473">
        <v>0</v>
      </c>
      <c r="K37" s="1001">
        <f>SUM(I37:J37)</f>
        <v>0</v>
      </c>
    </row>
    <row r="38" spans="2:10" ht="12.75">
      <c r="B38" s="999"/>
      <c r="C38" s="991"/>
      <c r="D38" s="991"/>
      <c r="E38" s="991"/>
      <c r="F38" s="1000"/>
      <c r="G38" s="1002"/>
      <c r="H38" s="1003"/>
      <c r="I38" s="1002"/>
      <c r="J38" s="1003"/>
    </row>
    <row r="39" spans="2:10" ht="12.75">
      <c r="B39" s="999"/>
      <c r="C39" s="991"/>
      <c r="D39" s="995" t="s">
        <v>361</v>
      </c>
      <c r="E39" s="991"/>
      <c r="F39" s="1000"/>
      <c r="G39" s="1002"/>
      <c r="H39" s="1003"/>
      <c r="I39" s="1002"/>
      <c r="J39" s="1003"/>
    </row>
    <row r="40" spans="2:11" ht="12.75">
      <c r="B40" s="999"/>
      <c r="C40" s="991"/>
      <c r="D40" s="1010"/>
      <c r="E40" s="991" t="s">
        <v>525</v>
      </c>
      <c r="F40" s="1000" t="s">
        <v>360</v>
      </c>
      <c r="G40" s="472">
        <v>0</v>
      </c>
      <c r="H40" s="473">
        <v>0</v>
      </c>
      <c r="I40" s="472">
        <v>0</v>
      </c>
      <c r="J40" s="473">
        <v>0</v>
      </c>
      <c r="K40" s="1001">
        <f>SUM(I40:J40)</f>
        <v>0</v>
      </c>
    </row>
    <row r="41" spans="2:11" ht="12.75">
      <c r="B41" s="999"/>
      <c r="C41" s="991"/>
      <c r="D41" s="995"/>
      <c r="E41" s="991" t="s">
        <v>526</v>
      </c>
      <c r="F41" s="1000" t="s">
        <v>360</v>
      </c>
      <c r="G41" s="472">
        <v>0</v>
      </c>
      <c r="H41" s="473">
        <v>0</v>
      </c>
      <c r="I41" s="472">
        <v>0</v>
      </c>
      <c r="J41" s="473">
        <v>0</v>
      </c>
      <c r="K41" s="1001">
        <f>SUM(I41:J41)</f>
        <v>0</v>
      </c>
    </row>
    <row r="42" spans="2:10" ht="12.75">
      <c r="B42" s="999"/>
      <c r="C42" s="991"/>
      <c r="D42" s="991"/>
      <c r="E42" s="991"/>
      <c r="F42" s="1000"/>
      <c r="G42" s="1002"/>
      <c r="H42" s="1003"/>
      <c r="I42" s="1002"/>
      <c r="J42" s="1003"/>
    </row>
    <row r="43" spans="2:10" ht="12.75">
      <c r="B43" s="999"/>
      <c r="C43" s="991"/>
      <c r="D43" s="995" t="s">
        <v>390</v>
      </c>
      <c r="E43" s="991"/>
      <c r="F43" s="1000"/>
      <c r="G43" s="1002"/>
      <c r="H43" s="1003"/>
      <c r="I43" s="1002"/>
      <c r="J43" s="1003"/>
    </row>
    <row r="44" spans="2:11" ht="12.75">
      <c r="B44" s="999"/>
      <c r="C44" s="991"/>
      <c r="D44" s="995"/>
      <c r="E44" s="991" t="s">
        <v>391</v>
      </c>
      <c r="F44" s="1000" t="s">
        <v>18</v>
      </c>
      <c r="G44" s="472">
        <v>66.768</v>
      </c>
      <c r="H44" s="473">
        <v>7.1888549367785135</v>
      </c>
      <c r="I44" s="472">
        <v>71.155</v>
      </c>
      <c r="J44" s="473">
        <v>8.948933601223292</v>
      </c>
      <c r="K44" s="1001">
        <f>SUM(I44:J44)</f>
        <v>80.10393360122329</v>
      </c>
    </row>
    <row r="45" spans="2:11" ht="12.75">
      <c r="B45" s="999"/>
      <c r="C45" s="991"/>
      <c r="D45" s="995"/>
      <c r="E45" s="991" t="s">
        <v>392</v>
      </c>
      <c r="F45" s="1000" t="s">
        <v>18</v>
      </c>
      <c r="G45" s="472">
        <v>0</v>
      </c>
      <c r="H45" s="473">
        <v>0</v>
      </c>
      <c r="I45" s="472">
        <v>0</v>
      </c>
      <c r="J45" s="473">
        <v>0</v>
      </c>
      <c r="K45" s="1001">
        <f>SUM(I45:J45)</f>
        <v>0</v>
      </c>
    </row>
    <row r="46" spans="2:10" ht="12.75">
      <c r="B46" s="999"/>
      <c r="C46" s="991"/>
      <c r="D46" s="995"/>
      <c r="E46" s="991"/>
      <c r="F46" s="1000"/>
      <c r="G46" s="1002"/>
      <c r="H46" s="1003"/>
      <c r="I46" s="1002"/>
      <c r="J46" s="1003"/>
    </row>
    <row r="47" spans="2:10" ht="12.75">
      <c r="B47" s="999"/>
      <c r="C47" s="991"/>
      <c r="D47" s="995" t="s">
        <v>682</v>
      </c>
      <c r="E47" s="991"/>
      <c r="F47" s="1000"/>
      <c r="G47" s="1002"/>
      <c r="H47" s="1003"/>
      <c r="I47" s="1002"/>
      <c r="J47" s="1003"/>
    </row>
    <row r="48" spans="2:11" ht="12.75">
      <c r="B48" s="999"/>
      <c r="C48" s="991"/>
      <c r="D48" s="995"/>
      <c r="E48" s="991" t="s">
        <v>683</v>
      </c>
      <c r="F48" s="1000" t="s">
        <v>18</v>
      </c>
      <c r="G48" s="472">
        <v>0</v>
      </c>
      <c r="H48" s="473">
        <v>0</v>
      </c>
      <c r="I48" s="472">
        <v>0</v>
      </c>
      <c r="J48" s="473">
        <v>0</v>
      </c>
      <c r="K48" s="1001">
        <f>SUM(I48:J48)</f>
        <v>0</v>
      </c>
    </row>
    <row r="49" spans="2:10" ht="12.75">
      <c r="B49" s="999"/>
      <c r="C49" s="991"/>
      <c r="D49" s="995"/>
      <c r="E49" s="991"/>
      <c r="F49" s="1000"/>
      <c r="G49" s="1002"/>
      <c r="H49" s="1003"/>
      <c r="I49" s="1002"/>
      <c r="J49" s="1003"/>
    </row>
    <row r="50" spans="2:10" ht="12.75">
      <c r="B50" s="999"/>
      <c r="C50" s="991"/>
      <c r="D50" s="995" t="s">
        <v>216</v>
      </c>
      <c r="E50" s="991"/>
      <c r="F50" s="1000"/>
      <c r="G50" s="1002"/>
      <c r="H50" s="1003"/>
      <c r="I50" s="1002"/>
      <c r="J50" s="1003"/>
    </row>
    <row r="51" spans="2:11" ht="12.75">
      <c r="B51" s="999"/>
      <c r="C51" s="991"/>
      <c r="D51" s="995"/>
      <c r="E51" s="991" t="s">
        <v>684</v>
      </c>
      <c r="F51" s="1000" t="s">
        <v>360</v>
      </c>
      <c r="G51" s="472">
        <v>11.235</v>
      </c>
      <c r="H51" s="473">
        <v>1.2096630903233074</v>
      </c>
      <c r="I51" s="472">
        <v>11.77</v>
      </c>
      <c r="J51" s="473">
        <v>1.4802747310294166</v>
      </c>
      <c r="K51" s="1001">
        <f>SUM(I51:J51)</f>
        <v>13.250274731029416</v>
      </c>
    </row>
    <row r="52" spans="2:11" ht="12.75">
      <c r="B52" s="999"/>
      <c r="C52" s="991"/>
      <c r="D52" s="995"/>
      <c r="E52" s="991" t="s">
        <v>897</v>
      </c>
      <c r="F52" s="1000" t="s">
        <v>360</v>
      </c>
      <c r="G52" s="472">
        <v>24.182000000000002</v>
      </c>
      <c r="H52" s="473">
        <v>2.6036557944101673</v>
      </c>
      <c r="I52" s="472">
        <v>26.001</v>
      </c>
      <c r="J52" s="473">
        <v>3.2700614512740747</v>
      </c>
      <c r="K52" s="1001">
        <f>SUM(I52:J52)</f>
        <v>29.271061451274075</v>
      </c>
    </row>
    <row r="53" spans="2:11" ht="12.75">
      <c r="B53" s="999"/>
      <c r="C53" s="991"/>
      <c r="D53" s="995"/>
      <c r="E53" s="991" t="s">
        <v>898</v>
      </c>
      <c r="F53" s="1000" t="s">
        <v>360</v>
      </c>
      <c r="G53" s="472">
        <v>0.9630000000000001</v>
      </c>
      <c r="H53" s="473">
        <v>0.1036854077419978</v>
      </c>
      <c r="I53" s="472">
        <v>1.391</v>
      </c>
      <c r="J53" s="473">
        <v>0.17494155912165832</v>
      </c>
      <c r="K53" s="1001">
        <f>SUM(I53:J53)</f>
        <v>1.5659415591216583</v>
      </c>
    </row>
    <row r="54" spans="2:11" ht="12.75">
      <c r="B54" s="999"/>
      <c r="C54" s="991"/>
      <c r="D54" s="995"/>
      <c r="E54" s="991" t="s">
        <v>899</v>
      </c>
      <c r="F54" s="1000" t="s">
        <v>360</v>
      </c>
      <c r="G54" s="472">
        <v>3.8520000000000003</v>
      </c>
      <c r="H54" s="473">
        <v>0.4147416309679912</v>
      </c>
      <c r="I54" s="472">
        <v>4.387</v>
      </c>
      <c r="J54" s="473">
        <v>0.5517387633836917</v>
      </c>
      <c r="K54" s="1001">
        <f>SUM(I54:J54)</f>
        <v>4.938738763383691</v>
      </c>
    </row>
    <row r="55" spans="2:11" ht="12.75">
      <c r="B55" s="999"/>
      <c r="C55" s="991"/>
      <c r="D55" s="995"/>
      <c r="E55" s="991" t="s">
        <v>415</v>
      </c>
      <c r="F55" s="1000" t="s">
        <v>360</v>
      </c>
      <c r="G55" s="472">
        <v>12.947</v>
      </c>
      <c r="H55" s="473">
        <v>1.3939927040868592</v>
      </c>
      <c r="I55" s="472">
        <v>13.803</v>
      </c>
      <c r="J55" s="473">
        <v>1.735958548207225</v>
      </c>
      <c r="K55" s="1001">
        <f>SUM(I55:J55)</f>
        <v>15.538958548207226</v>
      </c>
    </row>
    <row r="56" spans="2:10" ht="12.75">
      <c r="B56" s="999"/>
      <c r="C56" s="991"/>
      <c r="D56" s="995"/>
      <c r="E56" s="991" t="s">
        <v>549</v>
      </c>
      <c r="F56" s="1000" t="s">
        <v>360</v>
      </c>
      <c r="G56" s="1004"/>
      <c r="H56" s="1005"/>
      <c r="I56" s="1004"/>
      <c r="J56" s="1005"/>
    </row>
    <row r="57" spans="2:10" ht="12.75">
      <c r="B57" s="999"/>
      <c r="C57" s="991"/>
      <c r="D57" s="995"/>
      <c r="E57" s="991" t="s">
        <v>686</v>
      </c>
      <c r="F57" s="1000" t="s">
        <v>360</v>
      </c>
      <c r="G57" s="1004"/>
      <c r="H57" s="1005"/>
      <c r="I57" s="1004"/>
      <c r="J57" s="1005"/>
    </row>
    <row r="58" spans="2:11" ht="12.75">
      <c r="B58" s="999"/>
      <c r="C58" s="991"/>
      <c r="D58" s="991"/>
      <c r="E58" s="991" t="s">
        <v>395</v>
      </c>
      <c r="F58" s="1000" t="s">
        <v>360</v>
      </c>
      <c r="G58" s="472">
        <v>0</v>
      </c>
      <c r="H58" s="473">
        <v>0</v>
      </c>
      <c r="I58" s="472">
        <v>0</v>
      </c>
      <c r="J58" s="473">
        <v>0</v>
      </c>
      <c r="K58" s="1001">
        <f>SUM(I58:J58)</f>
        <v>0</v>
      </c>
    </row>
    <row r="59" spans="2:11" ht="12.75">
      <c r="B59" s="999"/>
      <c r="C59" s="991"/>
      <c r="D59" s="991"/>
      <c r="E59" s="991" t="s">
        <v>643</v>
      </c>
      <c r="F59" s="1000" t="s">
        <v>360</v>
      </c>
      <c r="G59" s="472">
        <v>0</v>
      </c>
      <c r="H59" s="473">
        <v>0</v>
      </c>
      <c r="I59" s="472">
        <v>0</v>
      </c>
      <c r="J59" s="473">
        <v>0</v>
      </c>
      <c r="K59" s="1001">
        <f>SUM(I59:J59)</f>
        <v>0</v>
      </c>
    </row>
    <row r="60" spans="2:11" ht="12.75">
      <c r="B60" s="999"/>
      <c r="C60" s="991"/>
      <c r="D60" s="995"/>
      <c r="E60" s="991" t="s">
        <v>644</v>
      </c>
      <c r="F60" s="1000" t="s">
        <v>360</v>
      </c>
      <c r="G60" s="472">
        <v>0</v>
      </c>
      <c r="H60" s="473">
        <v>0</v>
      </c>
      <c r="I60" s="472">
        <v>0</v>
      </c>
      <c r="J60" s="473">
        <v>0</v>
      </c>
      <c r="K60" s="1001">
        <f>SUM(I60:J60)</f>
        <v>0</v>
      </c>
    </row>
    <row r="61" spans="2:11" ht="12.75">
      <c r="B61" s="999"/>
      <c r="C61" s="991"/>
      <c r="D61" s="995"/>
      <c r="E61" s="991" t="s">
        <v>645</v>
      </c>
      <c r="F61" s="1000" t="s">
        <v>360</v>
      </c>
      <c r="G61" s="472">
        <v>0</v>
      </c>
      <c r="H61" s="473">
        <v>0</v>
      </c>
      <c r="I61" s="472">
        <v>0</v>
      </c>
      <c r="J61" s="473">
        <v>0</v>
      </c>
      <c r="K61" s="1001">
        <f>SUM(I61:J61)</f>
        <v>0</v>
      </c>
    </row>
    <row r="62" spans="2:11" ht="12.75">
      <c r="B62" s="999"/>
      <c r="C62" s="991"/>
      <c r="D62" s="995"/>
      <c r="E62" s="991" t="s">
        <v>509</v>
      </c>
      <c r="F62" s="1000" t="s">
        <v>360</v>
      </c>
      <c r="G62" s="472">
        <v>0</v>
      </c>
      <c r="H62" s="473">
        <v>0</v>
      </c>
      <c r="I62" s="472">
        <v>0</v>
      </c>
      <c r="J62" s="473">
        <v>0</v>
      </c>
      <c r="K62" s="1001">
        <f>SUM(I62:J62)</f>
        <v>0</v>
      </c>
    </row>
    <row r="63" spans="2:10" ht="12.75">
      <c r="B63" s="999"/>
      <c r="C63" s="991"/>
      <c r="D63" s="995"/>
      <c r="E63" s="991" t="s">
        <v>398</v>
      </c>
      <c r="F63" s="1000" t="s">
        <v>360</v>
      </c>
      <c r="G63" s="1004"/>
      <c r="H63" s="1005"/>
      <c r="I63" s="1004"/>
      <c r="J63" s="1005"/>
    </row>
    <row r="64" spans="2:10" ht="12.75">
      <c r="B64" s="999"/>
      <c r="C64" s="991"/>
      <c r="D64" s="995"/>
      <c r="E64" s="991" t="s">
        <v>375</v>
      </c>
      <c r="F64" s="1000" t="s">
        <v>360</v>
      </c>
      <c r="G64" s="1004"/>
      <c r="H64" s="1005"/>
      <c r="I64" s="1004"/>
      <c r="J64" s="1005"/>
    </row>
    <row r="65" spans="2:10" ht="12.75">
      <c r="B65" s="999"/>
      <c r="C65" s="991"/>
      <c r="D65" s="995"/>
      <c r="E65" s="991"/>
      <c r="F65" s="1011"/>
      <c r="G65" s="1002"/>
      <c r="H65" s="1003"/>
      <c r="I65" s="1002"/>
      <c r="J65" s="1003"/>
    </row>
    <row r="66" spans="2:10" ht="12.75">
      <c r="B66" s="999"/>
      <c r="C66" s="991"/>
      <c r="D66" s="995" t="s">
        <v>376</v>
      </c>
      <c r="E66" s="991"/>
      <c r="F66" s="1011"/>
      <c r="G66" s="1002"/>
      <c r="H66" s="1003"/>
      <c r="I66" s="1002"/>
      <c r="J66" s="1003"/>
    </row>
    <row r="67" spans="2:11" ht="12.75">
      <c r="B67" s="999"/>
      <c r="C67" s="991"/>
      <c r="D67" s="995"/>
      <c r="E67" s="991" t="s">
        <v>228</v>
      </c>
      <c r="F67" s="1000" t="s">
        <v>360</v>
      </c>
      <c r="G67" s="472">
        <v>3.1029999999999998</v>
      </c>
      <c r="H67" s="473">
        <v>0.3340974249464373</v>
      </c>
      <c r="I67" s="472">
        <v>3.1029999999999998</v>
      </c>
      <c r="J67" s="473">
        <v>0.39025424727139163</v>
      </c>
      <c r="K67" s="1001">
        <f>SUM(I67:J67)</f>
        <v>3.493254247271391</v>
      </c>
    </row>
    <row r="68" spans="2:11" ht="12.75">
      <c r="B68" s="999"/>
      <c r="C68" s="991"/>
      <c r="D68" s="995"/>
      <c r="E68" s="991" t="s">
        <v>369</v>
      </c>
      <c r="F68" s="1000" t="s">
        <v>360</v>
      </c>
      <c r="G68" s="472">
        <v>9.309</v>
      </c>
      <c r="H68" s="473">
        <v>1.002292274839312</v>
      </c>
      <c r="I68" s="472">
        <v>10.058</v>
      </c>
      <c r="J68" s="473">
        <v>1.2649620428796833</v>
      </c>
      <c r="K68" s="1001">
        <f>SUM(I68:J68)</f>
        <v>11.322962042879682</v>
      </c>
    </row>
    <row r="69" spans="2:11" ht="12.75">
      <c r="B69" s="999"/>
      <c r="C69" s="991"/>
      <c r="D69" s="995"/>
      <c r="E69" s="991" t="s">
        <v>370</v>
      </c>
      <c r="F69" s="1000" t="s">
        <v>360</v>
      </c>
      <c r="G69" s="472">
        <v>0</v>
      </c>
      <c r="H69" s="473">
        <v>0</v>
      </c>
      <c r="I69" s="472">
        <v>0</v>
      </c>
      <c r="J69" s="473">
        <v>0</v>
      </c>
      <c r="K69" s="1001">
        <f>SUM(I69:J69)</f>
        <v>0</v>
      </c>
    </row>
    <row r="70" spans="2:11" ht="12.75">
      <c r="B70" s="999"/>
      <c r="C70" s="991"/>
      <c r="D70" s="995"/>
      <c r="E70" s="991" t="s">
        <v>371</v>
      </c>
      <c r="F70" s="1000" t="s">
        <v>360</v>
      </c>
      <c r="G70" s="472">
        <v>0</v>
      </c>
      <c r="H70" s="473">
        <v>0</v>
      </c>
      <c r="I70" s="472">
        <v>0</v>
      </c>
      <c r="J70" s="473">
        <v>0</v>
      </c>
      <c r="K70" s="1001">
        <f>SUM(I70:J70)</f>
        <v>0</v>
      </c>
    </row>
    <row r="71" spans="2:10" ht="13.5" thickBot="1">
      <c r="B71" s="984"/>
      <c r="C71" s="985"/>
      <c r="D71" s="985"/>
      <c r="E71" s="985"/>
      <c r="F71" s="474"/>
      <c r="G71" s="1006"/>
      <c r="H71" s="1007"/>
      <c r="I71" s="1006"/>
      <c r="J71" s="1007"/>
    </row>
    <row r="72" spans="2:10" ht="12.75">
      <c r="B72" s="1008"/>
      <c r="C72" s="1009" t="s">
        <v>235</v>
      </c>
      <c r="D72" s="1009"/>
      <c r="E72" s="1010"/>
      <c r="F72" s="1011"/>
      <c r="G72" s="1002"/>
      <c r="H72" s="1003"/>
      <c r="I72" s="1002"/>
      <c r="J72" s="1003"/>
    </row>
    <row r="73" spans="2:10" ht="12.75">
      <c r="B73" s="999"/>
      <c r="C73" s="991"/>
      <c r="D73" s="995" t="s">
        <v>65</v>
      </c>
      <c r="E73" s="991"/>
      <c r="F73" s="1000"/>
      <c r="G73" s="1002"/>
      <c r="H73" s="1003"/>
      <c r="I73" s="1002"/>
      <c r="J73" s="1003"/>
    </row>
    <row r="74" spans="2:11" ht="12.75">
      <c r="B74" s="999"/>
      <c r="C74" s="991"/>
      <c r="D74" s="991"/>
      <c r="E74" s="991" t="s">
        <v>236</v>
      </c>
      <c r="F74" s="1000" t="s">
        <v>18</v>
      </c>
      <c r="G74" s="472">
        <v>73.72300000000001</v>
      </c>
      <c r="H74" s="473">
        <v>7.937693992692942</v>
      </c>
      <c r="I74" s="472">
        <v>82.81800000000001</v>
      </c>
      <c r="J74" s="473">
        <v>10.415751289243351</v>
      </c>
      <c r="K74" s="1001">
        <f>SUM(I74:J74)</f>
        <v>93.23375128924336</v>
      </c>
    </row>
    <row r="75" spans="2:11" ht="12.75">
      <c r="B75" s="999"/>
      <c r="C75" s="991"/>
      <c r="D75" s="995"/>
      <c r="E75" s="991" t="s">
        <v>381</v>
      </c>
      <c r="F75" s="1000" t="s">
        <v>18</v>
      </c>
      <c r="G75" s="472">
        <v>116.416</v>
      </c>
      <c r="H75" s="473">
        <v>12.534413735921511</v>
      </c>
      <c r="I75" s="472">
        <v>131.93099999999998</v>
      </c>
      <c r="J75" s="473">
        <v>16.592534030538822</v>
      </c>
      <c r="K75" s="1001">
        <f>SUM(I75:J75)</f>
        <v>148.5235340305388</v>
      </c>
    </row>
    <row r="76" spans="2:11" ht="12.75">
      <c r="B76" s="999"/>
      <c r="C76" s="991"/>
      <c r="D76" s="995"/>
      <c r="E76" s="991" t="s">
        <v>382</v>
      </c>
      <c r="F76" s="1000" t="s">
        <v>18</v>
      </c>
      <c r="G76" s="472">
        <v>147.125</v>
      </c>
      <c r="H76" s="473">
        <v>15.840826182805218</v>
      </c>
      <c r="I76" s="472">
        <v>156.22</v>
      </c>
      <c r="J76" s="473">
        <v>19.647282793663166</v>
      </c>
      <c r="K76" s="1001">
        <f>SUM(I76:J76)</f>
        <v>175.86728279366315</v>
      </c>
    </row>
    <row r="77" spans="2:11" ht="12.75">
      <c r="B77" s="999"/>
      <c r="C77" s="991"/>
      <c r="D77" s="995"/>
      <c r="E77" s="991" t="s">
        <v>383</v>
      </c>
      <c r="F77" s="1000" t="s">
        <v>18</v>
      </c>
      <c r="G77" s="472">
        <v>147.125</v>
      </c>
      <c r="H77" s="473">
        <v>15.840826182805218</v>
      </c>
      <c r="I77" s="472">
        <v>156.22</v>
      </c>
      <c r="J77" s="473">
        <v>19.647282793663166</v>
      </c>
      <c r="K77" s="1001">
        <f>SUM(I77:J77)</f>
        <v>175.86728279366315</v>
      </c>
    </row>
    <row r="78" spans="2:10" ht="12.75">
      <c r="B78" s="999"/>
      <c r="C78" s="991"/>
      <c r="D78" s="995"/>
      <c r="E78" s="991"/>
      <c r="F78" s="1000"/>
      <c r="G78" s="1002"/>
      <c r="H78" s="1003"/>
      <c r="I78" s="1002"/>
      <c r="J78" s="1003"/>
    </row>
    <row r="79" spans="2:10" ht="12.75">
      <c r="B79" s="999"/>
      <c r="C79" s="991"/>
      <c r="D79" s="995" t="s">
        <v>361</v>
      </c>
      <c r="E79" s="991"/>
      <c r="F79" s="1000"/>
      <c r="G79" s="1002"/>
      <c r="H79" s="1003"/>
      <c r="I79" s="1002"/>
      <c r="J79" s="1003"/>
    </row>
    <row r="80" spans="2:11" ht="12.75">
      <c r="B80" s="999"/>
      <c r="C80" s="991"/>
      <c r="D80" s="991"/>
      <c r="E80" s="991" t="s">
        <v>384</v>
      </c>
      <c r="F80" s="1000" t="s">
        <v>360</v>
      </c>
      <c r="G80" s="472">
        <v>0</v>
      </c>
      <c r="H80" s="473">
        <v>0</v>
      </c>
      <c r="I80" s="472">
        <v>0</v>
      </c>
      <c r="J80" s="473">
        <v>0</v>
      </c>
      <c r="K80" s="1001">
        <f>SUM(I80:J80)</f>
        <v>0</v>
      </c>
    </row>
    <row r="81" spans="2:11" ht="12.75">
      <c r="B81" s="999"/>
      <c r="C81" s="991"/>
      <c r="D81" s="991"/>
      <c r="E81" s="991" t="s">
        <v>385</v>
      </c>
      <c r="F81" s="1000" t="s">
        <v>360</v>
      </c>
      <c r="G81" s="472">
        <v>0</v>
      </c>
      <c r="H81" s="473">
        <v>0</v>
      </c>
      <c r="I81" s="472">
        <v>0</v>
      </c>
      <c r="J81" s="473">
        <v>0</v>
      </c>
      <c r="K81" s="1001">
        <f>SUM(I81:J81)</f>
        <v>0</v>
      </c>
    </row>
    <row r="82" spans="2:11" ht="12.75">
      <c r="B82" s="999"/>
      <c r="C82" s="991"/>
      <c r="D82" s="995"/>
      <c r="E82" s="991" t="s">
        <v>386</v>
      </c>
      <c r="F82" s="1000" t="s">
        <v>360</v>
      </c>
      <c r="G82" s="472">
        <v>0</v>
      </c>
      <c r="H82" s="473">
        <v>0</v>
      </c>
      <c r="I82" s="472">
        <v>0</v>
      </c>
      <c r="J82" s="473">
        <v>0</v>
      </c>
      <c r="K82" s="1001">
        <f>SUM(I82:J82)</f>
        <v>0</v>
      </c>
    </row>
    <row r="83" spans="2:11" ht="12.75">
      <c r="B83" s="999"/>
      <c r="C83" s="991"/>
      <c r="D83" s="995"/>
      <c r="E83" s="991" t="s">
        <v>387</v>
      </c>
      <c r="F83" s="1000" t="s">
        <v>360</v>
      </c>
      <c r="G83" s="472">
        <v>0</v>
      </c>
      <c r="H83" s="473">
        <v>0</v>
      </c>
      <c r="I83" s="472">
        <v>0</v>
      </c>
      <c r="J83" s="473">
        <v>0</v>
      </c>
      <c r="K83" s="1001">
        <f>SUM(I83:J83)</f>
        <v>0</v>
      </c>
    </row>
    <row r="84" spans="2:10" ht="12.75">
      <c r="B84" s="999"/>
      <c r="C84" s="991"/>
      <c r="D84" s="991"/>
      <c r="E84" s="991"/>
      <c r="F84" s="1000"/>
      <c r="G84" s="1002"/>
      <c r="H84" s="1003"/>
      <c r="I84" s="1002"/>
      <c r="J84" s="1003"/>
    </row>
    <row r="85" spans="2:10" ht="12.75">
      <c r="B85" s="989"/>
      <c r="C85" s="991"/>
      <c r="D85" s="995" t="s">
        <v>390</v>
      </c>
      <c r="E85" s="991"/>
      <c r="F85" s="1000"/>
      <c r="G85" s="1002"/>
      <c r="H85" s="1003"/>
      <c r="I85" s="1002"/>
      <c r="J85" s="1003"/>
    </row>
    <row r="86" spans="2:11" ht="12.75">
      <c r="B86" s="989"/>
      <c r="C86" s="991"/>
      <c r="D86" s="995"/>
      <c r="E86" s="991" t="s">
        <v>92</v>
      </c>
      <c r="F86" s="1000" t="s">
        <v>18</v>
      </c>
      <c r="G86" s="472">
        <v>210.57600000000002</v>
      </c>
      <c r="H86" s="473">
        <v>22.672542492916854</v>
      </c>
      <c r="I86" s="472">
        <v>216.35399999999998</v>
      </c>
      <c r="J86" s="473">
        <v>27.210140964922548</v>
      </c>
      <c r="K86" s="1001">
        <f aca="true" t="shared" si="0" ref="K86:K91">SUM(I86:J86)</f>
        <v>243.56414096492253</v>
      </c>
    </row>
    <row r="87" spans="2:11" ht="12.75">
      <c r="B87" s="989"/>
      <c r="C87" s="991"/>
      <c r="D87" s="995"/>
      <c r="E87" s="991" t="s">
        <v>93</v>
      </c>
      <c r="F87" s="1000" t="s">
        <v>18</v>
      </c>
      <c r="G87" s="472">
        <v>210.57600000000002</v>
      </c>
      <c r="H87" s="473">
        <v>22.672542492916854</v>
      </c>
      <c r="I87" s="472">
        <v>216.35399999999998</v>
      </c>
      <c r="J87" s="473">
        <v>27.210140964922548</v>
      </c>
      <c r="K87" s="1001">
        <f t="shared" si="0"/>
        <v>243.56414096492253</v>
      </c>
    </row>
    <row r="88" spans="2:11" ht="12.75">
      <c r="B88" s="989"/>
      <c r="C88" s="991"/>
      <c r="D88" s="995"/>
      <c r="E88" s="991" t="s">
        <v>94</v>
      </c>
      <c r="F88" s="1000" t="s">
        <v>18</v>
      </c>
      <c r="G88" s="472">
        <v>0</v>
      </c>
      <c r="H88" s="473">
        <v>0</v>
      </c>
      <c r="I88" s="472">
        <v>0</v>
      </c>
      <c r="J88" s="473">
        <v>0</v>
      </c>
      <c r="K88" s="1001">
        <f t="shared" si="0"/>
        <v>0</v>
      </c>
    </row>
    <row r="89" spans="2:11" ht="12.75">
      <c r="B89" s="989"/>
      <c r="C89" s="991"/>
      <c r="D89" s="995"/>
      <c r="E89" s="991" t="s">
        <v>266</v>
      </c>
      <c r="F89" s="1000" t="s">
        <v>18</v>
      </c>
      <c r="G89" s="472">
        <v>1003.874</v>
      </c>
      <c r="H89" s="473">
        <v>108.0862772706026</v>
      </c>
      <c r="I89" s="472">
        <v>1015.43</v>
      </c>
      <c r="J89" s="473">
        <v>127.70733815881057</v>
      </c>
      <c r="K89" s="1001">
        <f t="shared" si="0"/>
        <v>1143.1373381588105</v>
      </c>
    </row>
    <row r="90" spans="2:11" ht="12.75">
      <c r="B90" s="989"/>
      <c r="C90" s="991"/>
      <c r="D90" s="995"/>
      <c r="E90" s="991" t="s">
        <v>260</v>
      </c>
      <c r="F90" s="1000" t="s">
        <v>18</v>
      </c>
      <c r="G90" s="472">
        <v>1003.874</v>
      </c>
      <c r="H90" s="473">
        <v>108.0862772706026</v>
      </c>
      <c r="I90" s="472">
        <v>1015.43</v>
      </c>
      <c r="J90" s="473">
        <v>127.70733815881057</v>
      </c>
      <c r="K90" s="1001">
        <f t="shared" si="0"/>
        <v>1143.1373381588105</v>
      </c>
    </row>
    <row r="91" spans="2:11" ht="12.75">
      <c r="B91" s="989"/>
      <c r="C91" s="991"/>
      <c r="D91" s="995"/>
      <c r="E91" s="991" t="s">
        <v>261</v>
      </c>
      <c r="F91" s="1000" t="s">
        <v>18</v>
      </c>
      <c r="G91" s="472">
        <v>0</v>
      </c>
      <c r="H91" s="473">
        <v>0</v>
      </c>
      <c r="I91" s="472">
        <v>0</v>
      </c>
      <c r="J91" s="473">
        <v>0</v>
      </c>
      <c r="K91" s="1001">
        <f t="shared" si="0"/>
        <v>0</v>
      </c>
    </row>
    <row r="92" spans="2:10" ht="12.75">
      <c r="B92" s="989"/>
      <c r="C92" s="991"/>
      <c r="D92" s="991"/>
      <c r="E92" s="991"/>
      <c r="F92" s="1000"/>
      <c r="G92" s="1002"/>
      <c r="H92" s="1003"/>
      <c r="I92" s="1002"/>
      <c r="J92" s="1003"/>
    </row>
    <row r="93" spans="2:10" ht="12.75">
      <c r="B93" s="989"/>
      <c r="C93" s="991"/>
      <c r="D93" s="995" t="s">
        <v>682</v>
      </c>
      <c r="E93" s="991"/>
      <c r="F93" s="1000"/>
      <c r="G93" s="1002"/>
      <c r="H93" s="1003"/>
      <c r="I93" s="1002"/>
      <c r="J93" s="1003"/>
    </row>
    <row r="94" spans="2:11" ht="12.75">
      <c r="B94" s="989"/>
      <c r="C94" s="991"/>
      <c r="D94" s="991"/>
      <c r="E94" s="991" t="s">
        <v>301</v>
      </c>
      <c r="F94" s="1000" t="s">
        <v>18</v>
      </c>
      <c r="G94" s="472">
        <v>0</v>
      </c>
      <c r="H94" s="473">
        <v>0</v>
      </c>
      <c r="I94" s="472">
        <v>0</v>
      </c>
      <c r="J94" s="473">
        <v>0</v>
      </c>
      <c r="K94" s="1001">
        <f>SUM(I94:J94)</f>
        <v>0</v>
      </c>
    </row>
    <row r="95" spans="2:10" ht="12.75">
      <c r="B95" s="989"/>
      <c r="C95" s="991"/>
      <c r="D95" s="995"/>
      <c r="E95" s="991"/>
      <c r="F95" s="1000"/>
      <c r="G95" s="1002"/>
      <c r="H95" s="1003"/>
      <c r="I95" s="1002"/>
      <c r="J95" s="1003"/>
    </row>
    <row r="96" spans="2:10" ht="12.75">
      <c r="B96" s="989"/>
      <c r="C96" s="991"/>
      <c r="D96" s="995" t="s">
        <v>216</v>
      </c>
      <c r="E96" s="991"/>
      <c r="F96" s="1000"/>
      <c r="G96" s="1002"/>
      <c r="H96" s="1003"/>
      <c r="I96" s="1002"/>
      <c r="J96" s="1003"/>
    </row>
    <row r="97" spans="2:11" ht="12.75">
      <c r="B97" s="989"/>
      <c r="C97" s="991"/>
      <c r="D97" s="995"/>
      <c r="E97" s="1010" t="s">
        <v>302</v>
      </c>
      <c r="F97" s="1000" t="s">
        <v>360</v>
      </c>
      <c r="G97" s="472">
        <v>152.79600000000002</v>
      </c>
      <c r="H97" s="473">
        <v>16.451418028396983</v>
      </c>
      <c r="I97" s="472">
        <v>155.685</v>
      </c>
      <c r="J97" s="473">
        <v>19.579997578616375</v>
      </c>
      <c r="K97" s="1001">
        <f>SUM(I97:J97)</f>
        <v>175.26499757861637</v>
      </c>
    </row>
    <row r="98" spans="2:11" ht="12.75">
      <c r="B98" s="989"/>
      <c r="C98" s="991"/>
      <c r="D98" s="995"/>
      <c r="E98" s="1010" t="s">
        <v>303</v>
      </c>
      <c r="F98" s="1000" t="s">
        <v>360</v>
      </c>
      <c r="G98" s="472">
        <v>152.79600000000002</v>
      </c>
      <c r="H98" s="473">
        <v>16.451418028396983</v>
      </c>
      <c r="I98" s="472">
        <v>155.685</v>
      </c>
      <c r="J98" s="473">
        <v>19.579997578616375</v>
      </c>
      <c r="K98" s="1001">
        <f>SUM(I98:J98)</f>
        <v>175.26499757861637</v>
      </c>
    </row>
    <row r="99" spans="2:11" ht="12.75">
      <c r="B99" s="989"/>
      <c r="C99" s="991"/>
      <c r="D99" s="995"/>
      <c r="E99" s="1010" t="s">
        <v>304</v>
      </c>
      <c r="F99" s="1000" t="s">
        <v>360</v>
      </c>
      <c r="G99" s="472">
        <v>0</v>
      </c>
      <c r="H99" s="473">
        <v>0</v>
      </c>
      <c r="I99" s="472">
        <v>0</v>
      </c>
      <c r="J99" s="473">
        <v>0</v>
      </c>
      <c r="K99" s="1001">
        <f>SUM(I99:J99)</f>
        <v>0</v>
      </c>
    </row>
    <row r="100" spans="2:11" ht="12.75">
      <c r="B100" s="989"/>
      <c r="C100" s="991"/>
      <c r="D100" s="995"/>
      <c r="E100" s="1010" t="s">
        <v>305</v>
      </c>
      <c r="F100" s="1000" t="s">
        <v>360</v>
      </c>
      <c r="G100" s="472">
        <v>0</v>
      </c>
      <c r="H100" s="473">
        <v>0</v>
      </c>
      <c r="I100" s="472">
        <v>0</v>
      </c>
      <c r="J100" s="473">
        <v>0</v>
      </c>
      <c r="K100" s="1001">
        <f>SUM(I100:J100)</f>
        <v>0</v>
      </c>
    </row>
    <row r="101" spans="2:11" ht="12.75">
      <c r="B101" s="989"/>
      <c r="C101" s="991"/>
      <c r="D101" s="995"/>
      <c r="E101" s="1010" t="s">
        <v>306</v>
      </c>
      <c r="F101" s="1000" t="s">
        <v>360</v>
      </c>
      <c r="G101" s="472">
        <v>488.776</v>
      </c>
      <c r="H101" s="473">
        <v>52.62610472949399</v>
      </c>
      <c r="I101" s="472">
        <v>495.303</v>
      </c>
      <c r="J101" s="473">
        <v>62.29265209031972</v>
      </c>
      <c r="K101" s="1001">
        <f>SUM(I101:J101)</f>
        <v>557.5956520903197</v>
      </c>
    </row>
    <row r="102" spans="2:10" ht="12.75">
      <c r="B102" s="989"/>
      <c r="C102" s="991"/>
      <c r="D102" s="995"/>
      <c r="E102" s="1010" t="s">
        <v>307</v>
      </c>
      <c r="F102" s="1000" t="s">
        <v>360</v>
      </c>
      <c r="G102" s="1004"/>
      <c r="H102" s="1005"/>
      <c r="I102" s="1004"/>
      <c r="J102" s="1005"/>
    </row>
    <row r="103" spans="2:11" ht="12.75">
      <c r="B103" s="989"/>
      <c r="C103" s="991"/>
      <c r="D103" s="995"/>
      <c r="E103" s="1010" t="s">
        <v>308</v>
      </c>
      <c r="F103" s="1000" t="s">
        <v>360</v>
      </c>
      <c r="G103" s="472">
        <v>575.981</v>
      </c>
      <c r="H103" s="473">
        <v>62.015394430574894</v>
      </c>
      <c r="I103" s="472">
        <v>587.323</v>
      </c>
      <c r="J103" s="473">
        <v>73.86570907836789</v>
      </c>
      <c r="K103" s="1001">
        <f>SUM(I103:J103)</f>
        <v>661.1887090783679</v>
      </c>
    </row>
    <row r="104" spans="2:10" ht="12.75">
      <c r="B104" s="989"/>
      <c r="C104" s="991"/>
      <c r="D104" s="995"/>
      <c r="E104" s="1010" t="s">
        <v>309</v>
      </c>
      <c r="F104" s="1000" t="s">
        <v>360</v>
      </c>
      <c r="G104" s="1004"/>
      <c r="H104" s="1005"/>
      <c r="I104" s="1004"/>
      <c r="J104" s="1005"/>
    </row>
    <row r="105" spans="2:10" ht="12.75">
      <c r="B105" s="989"/>
      <c r="C105" s="991"/>
      <c r="D105" s="995"/>
      <c r="E105" s="991"/>
      <c r="F105" s="1000"/>
      <c r="G105" s="1002"/>
      <c r="H105" s="1003"/>
      <c r="I105" s="1002"/>
      <c r="J105" s="1003"/>
    </row>
    <row r="106" spans="2:10" ht="12.75">
      <c r="B106" s="989"/>
      <c r="C106" s="991"/>
      <c r="D106" s="995" t="s">
        <v>376</v>
      </c>
      <c r="E106" s="991"/>
      <c r="F106" s="1000"/>
      <c r="G106" s="1002"/>
      <c r="H106" s="1003"/>
      <c r="I106" s="1002"/>
      <c r="J106" s="1003"/>
    </row>
    <row r="107" spans="2:11" ht="12.75">
      <c r="B107" s="989"/>
      <c r="C107" s="991"/>
      <c r="D107" s="991"/>
      <c r="E107" s="1010" t="s">
        <v>310</v>
      </c>
      <c r="F107" s="1000" t="s">
        <v>360</v>
      </c>
      <c r="G107" s="472">
        <v>433.45700000000005</v>
      </c>
      <c r="H107" s="473">
        <v>46.66995408475923</v>
      </c>
      <c r="I107" s="472">
        <v>448.22299999999996</v>
      </c>
      <c r="J107" s="473">
        <v>56.37155316620205</v>
      </c>
      <c r="K107" s="1001">
        <f>SUM(I107:J107)</f>
        <v>504.594553166202</v>
      </c>
    </row>
    <row r="108" spans="2:11" ht="12.75">
      <c r="B108" s="989"/>
      <c r="C108" s="991"/>
      <c r="D108" s="991"/>
      <c r="E108" s="1010" t="s">
        <v>311</v>
      </c>
      <c r="F108" s="1000" t="s">
        <v>360</v>
      </c>
      <c r="G108" s="472">
        <v>446.404</v>
      </c>
      <c r="H108" s="473">
        <v>48.06394678884609</v>
      </c>
      <c r="I108" s="472">
        <v>481.393</v>
      </c>
      <c r="J108" s="473">
        <v>60.54323649910314</v>
      </c>
      <c r="K108" s="1001">
        <f>SUM(I108:J108)</f>
        <v>541.9362364991031</v>
      </c>
    </row>
    <row r="109" spans="2:11" ht="12.75">
      <c r="B109" s="989"/>
      <c r="C109" s="991"/>
      <c r="D109" s="991"/>
      <c r="E109" s="991" t="s">
        <v>312</v>
      </c>
      <c r="F109" s="1000" t="s">
        <v>360</v>
      </c>
      <c r="G109" s="1004"/>
      <c r="H109" s="1005"/>
      <c r="I109" s="1004"/>
      <c r="J109" s="1005"/>
      <c r="K109" s="1001"/>
    </row>
    <row r="110" spans="2:11" ht="12.75">
      <c r="B110" s="989"/>
      <c r="C110" s="991"/>
      <c r="D110" s="991"/>
      <c r="E110" s="1010" t="s">
        <v>570</v>
      </c>
      <c r="F110" s="1000" t="s">
        <v>360</v>
      </c>
      <c r="G110" s="472">
        <v>1778.554</v>
      </c>
      <c r="H110" s="473">
        <v>191.49542749860973</v>
      </c>
      <c r="I110" s="472">
        <v>1880.9530000000002</v>
      </c>
      <c r="J110" s="473">
        <v>236.56135906151013</v>
      </c>
      <c r="K110" s="1001">
        <f>SUM(I110:J110)</f>
        <v>2117.5143590615103</v>
      </c>
    </row>
    <row r="111" spans="2:10" ht="12.75">
      <c r="B111" s="989"/>
      <c r="C111" s="991"/>
      <c r="D111" s="995"/>
      <c r="E111" s="991" t="s">
        <v>707</v>
      </c>
      <c r="F111" s="1000" t="s">
        <v>360</v>
      </c>
      <c r="G111" s="1004"/>
      <c r="H111" s="1005"/>
      <c r="I111" s="1004"/>
      <c r="J111" s="1005"/>
    </row>
    <row r="112" spans="2:10" ht="13.5" thickBot="1">
      <c r="B112" s="984"/>
      <c r="C112" s="985"/>
      <c r="D112" s="985"/>
      <c r="E112" s="985"/>
      <c r="F112" s="474"/>
      <c r="G112" s="1012"/>
      <c r="H112" s="1013"/>
      <c r="I112" s="1012"/>
      <c r="J112" s="1013"/>
    </row>
    <row r="113" spans="2:10" ht="12.75">
      <c r="B113" s="1008"/>
      <c r="C113" s="1009" t="s">
        <v>708</v>
      </c>
      <c r="D113" s="1009"/>
      <c r="E113" s="1010"/>
      <c r="F113" s="1011"/>
      <c r="G113" s="1002"/>
      <c r="H113" s="1003"/>
      <c r="I113" s="1002"/>
      <c r="J113" s="1003"/>
    </row>
    <row r="114" spans="2:10" ht="12.75">
      <c r="B114" s="989"/>
      <c r="C114" s="991"/>
      <c r="D114" s="995" t="s">
        <v>65</v>
      </c>
      <c r="E114" s="991"/>
      <c r="F114" s="1000"/>
      <c r="G114" s="1002"/>
      <c r="H114" s="1003"/>
      <c r="I114" s="1002"/>
      <c r="J114" s="1003"/>
    </row>
    <row r="115" spans="2:11" ht="12.75">
      <c r="B115" s="989"/>
      <c r="C115" s="991"/>
      <c r="D115" s="995"/>
      <c r="E115" s="991" t="s">
        <v>589</v>
      </c>
      <c r="F115" s="1000" t="s">
        <v>18</v>
      </c>
      <c r="G115" s="472">
        <v>549.552</v>
      </c>
      <c r="H115" s="473">
        <v>59.169806018100076</v>
      </c>
      <c r="I115" s="472">
        <v>601.661</v>
      </c>
      <c r="J115" s="473">
        <v>75.6689528416219</v>
      </c>
      <c r="K115" s="1001">
        <f>SUM(I115:J115)</f>
        <v>677.3299528416219</v>
      </c>
    </row>
    <row r="116" spans="2:11" ht="12.75">
      <c r="B116" s="989"/>
      <c r="C116" s="991"/>
      <c r="D116" s="995"/>
      <c r="E116" s="991" t="s">
        <v>590</v>
      </c>
      <c r="F116" s="1000" t="s">
        <v>18</v>
      </c>
      <c r="G116" s="472">
        <v>929.83</v>
      </c>
      <c r="H116" s="473">
        <v>100.11402147532898</v>
      </c>
      <c r="I116" s="472">
        <v>1033.941</v>
      </c>
      <c r="J116" s="473">
        <v>130.03540659942956</v>
      </c>
      <c r="K116" s="1001">
        <f>SUM(I116:J116)</f>
        <v>1163.9764065994295</v>
      </c>
    </row>
    <row r="117" spans="2:10" ht="12.75">
      <c r="B117" s="989"/>
      <c r="C117" s="991"/>
      <c r="D117" s="995"/>
      <c r="E117" s="1010"/>
      <c r="F117" s="1000"/>
      <c r="G117" s="1002"/>
      <c r="H117" s="1003"/>
      <c r="I117" s="1002"/>
      <c r="J117" s="1003"/>
    </row>
    <row r="118" spans="2:10" ht="12.75">
      <c r="B118" s="989"/>
      <c r="C118" s="991"/>
      <c r="D118" s="995" t="s">
        <v>361</v>
      </c>
      <c r="E118" s="991"/>
      <c r="F118" s="1011"/>
      <c r="G118" s="1002"/>
      <c r="H118" s="1003"/>
      <c r="I118" s="1002"/>
      <c r="J118" s="1003"/>
    </row>
    <row r="119" spans="2:11" ht="12.75">
      <c r="B119" s="989"/>
      <c r="C119" s="991"/>
      <c r="D119" s="995"/>
      <c r="E119" s="991" t="s">
        <v>586</v>
      </c>
      <c r="F119" s="1000" t="s">
        <v>360</v>
      </c>
      <c r="G119" s="472">
        <v>0</v>
      </c>
      <c r="H119" s="473">
        <v>0</v>
      </c>
      <c r="I119" s="472">
        <v>0</v>
      </c>
      <c r="J119" s="473">
        <v>0</v>
      </c>
      <c r="K119" s="1001">
        <f>SUM(I119:J119)</f>
        <v>0</v>
      </c>
    </row>
    <row r="120" spans="2:11" ht="12.75">
      <c r="B120" s="989"/>
      <c r="C120" s="991"/>
      <c r="D120" s="995"/>
      <c r="E120" s="991" t="s">
        <v>587</v>
      </c>
      <c r="F120" s="1000" t="s">
        <v>360</v>
      </c>
      <c r="G120" s="472">
        <v>0</v>
      </c>
      <c r="H120" s="473">
        <v>0</v>
      </c>
      <c r="I120" s="472">
        <v>0</v>
      </c>
      <c r="J120" s="473">
        <v>0</v>
      </c>
      <c r="K120" s="1001">
        <f>SUM(I120:J120)</f>
        <v>0</v>
      </c>
    </row>
    <row r="121" spans="2:11" ht="12.75">
      <c r="B121" s="989"/>
      <c r="C121" s="991"/>
      <c r="D121" s="995"/>
      <c r="E121" s="1010" t="s">
        <v>140</v>
      </c>
      <c r="F121" s="1000" t="s">
        <v>360</v>
      </c>
      <c r="G121" s="472">
        <v>0</v>
      </c>
      <c r="H121" s="473">
        <v>0</v>
      </c>
      <c r="I121" s="472">
        <v>0</v>
      </c>
      <c r="J121" s="473">
        <v>0</v>
      </c>
      <c r="K121" s="1001">
        <f>SUM(I121:J121)</f>
        <v>0</v>
      </c>
    </row>
    <row r="122" spans="2:10" ht="12.75">
      <c r="B122" s="989"/>
      <c r="C122" s="991"/>
      <c r="D122" s="991"/>
      <c r="E122" s="991"/>
      <c r="F122" s="1000"/>
      <c r="G122" s="1002"/>
      <c r="H122" s="1003"/>
      <c r="I122" s="1002"/>
      <c r="J122" s="1003"/>
    </row>
    <row r="123" spans="2:10" ht="12.75">
      <c r="B123" s="989"/>
      <c r="C123" s="991"/>
      <c r="D123" s="995" t="s">
        <v>390</v>
      </c>
      <c r="E123" s="991"/>
      <c r="F123" s="1011"/>
      <c r="G123" s="1002"/>
      <c r="H123" s="1003"/>
      <c r="I123" s="1002"/>
      <c r="J123" s="1003"/>
    </row>
    <row r="124" spans="2:11" ht="12.75">
      <c r="B124" s="989"/>
      <c r="C124" s="991"/>
      <c r="D124" s="991"/>
      <c r="E124" s="991" t="s">
        <v>316</v>
      </c>
      <c r="F124" s="1000" t="s">
        <v>18</v>
      </c>
      <c r="G124" s="472">
        <v>1031.587</v>
      </c>
      <c r="H124" s="473">
        <v>111.07011289340008</v>
      </c>
      <c r="I124" s="472">
        <v>1043.25</v>
      </c>
      <c r="J124" s="473">
        <v>131.20616934124374</v>
      </c>
      <c r="K124" s="1001">
        <f>SUM(I124:J124)</f>
        <v>1174.4561693412438</v>
      </c>
    </row>
    <row r="125" spans="2:11" ht="12.75">
      <c r="B125" s="989"/>
      <c r="C125" s="991"/>
      <c r="D125" s="991"/>
      <c r="E125" s="991" t="s">
        <v>453</v>
      </c>
      <c r="F125" s="1000" t="s">
        <v>18</v>
      </c>
      <c r="G125" s="472">
        <v>1031.587</v>
      </c>
      <c r="H125" s="473">
        <v>111.07011289340008</v>
      </c>
      <c r="I125" s="472">
        <v>1043.25</v>
      </c>
      <c r="J125" s="473">
        <v>131.20616934124374</v>
      </c>
      <c r="K125" s="1001">
        <f>SUM(I125:J125)</f>
        <v>1174.4561693412438</v>
      </c>
    </row>
    <row r="126" spans="2:11" ht="12.75">
      <c r="B126" s="989"/>
      <c r="C126" s="991"/>
      <c r="D126" s="991"/>
      <c r="E126" s="991" t="s">
        <v>420</v>
      </c>
      <c r="F126" s="1000" t="s">
        <v>18</v>
      </c>
      <c r="G126" s="472">
        <v>0</v>
      </c>
      <c r="H126" s="473">
        <v>0</v>
      </c>
      <c r="I126" s="472">
        <v>0</v>
      </c>
      <c r="J126" s="473">
        <v>0</v>
      </c>
      <c r="K126" s="1001">
        <f>SUM(I126:J126)</f>
        <v>0</v>
      </c>
    </row>
    <row r="127" spans="2:10" ht="12.75">
      <c r="B127" s="989"/>
      <c r="C127" s="991"/>
      <c r="D127" s="991"/>
      <c r="E127" s="991"/>
      <c r="F127" s="996"/>
      <c r="G127" s="1002"/>
      <c r="H127" s="1003"/>
      <c r="I127" s="1002"/>
      <c r="J127" s="1003"/>
    </row>
    <row r="128" spans="2:10" ht="12.75">
      <c r="B128" s="989"/>
      <c r="C128" s="991"/>
      <c r="D128" s="995" t="s">
        <v>682</v>
      </c>
      <c r="E128" s="991"/>
      <c r="F128" s="996"/>
      <c r="G128" s="1002"/>
      <c r="H128" s="1003"/>
      <c r="I128" s="1002"/>
      <c r="J128" s="1003"/>
    </row>
    <row r="129" spans="2:11" ht="12.75">
      <c r="B129" s="989"/>
      <c r="C129" s="991"/>
      <c r="D129" s="991"/>
      <c r="E129" s="1010" t="s">
        <v>421</v>
      </c>
      <c r="F129" s="1000" t="s">
        <v>18</v>
      </c>
      <c r="G129" s="472">
        <v>0</v>
      </c>
      <c r="H129" s="473">
        <v>0</v>
      </c>
      <c r="I129" s="472">
        <v>0</v>
      </c>
      <c r="J129" s="473">
        <v>0</v>
      </c>
      <c r="K129" s="1001">
        <f>SUM(I129:J129)</f>
        <v>0</v>
      </c>
    </row>
    <row r="130" spans="2:10" ht="12.75">
      <c r="B130" s="989"/>
      <c r="C130" s="991"/>
      <c r="D130" s="991"/>
      <c r="E130" s="991"/>
      <c r="F130" s="996"/>
      <c r="G130" s="1002"/>
      <c r="H130" s="1003"/>
      <c r="I130" s="1002"/>
      <c r="J130" s="1003"/>
    </row>
    <row r="131" spans="2:10" ht="12.75">
      <c r="B131" s="989"/>
      <c r="C131" s="991"/>
      <c r="D131" s="995" t="s">
        <v>216</v>
      </c>
      <c r="E131" s="991"/>
      <c r="F131" s="996"/>
      <c r="G131" s="1002"/>
      <c r="H131" s="1003"/>
      <c r="I131" s="1002"/>
      <c r="J131" s="1003"/>
    </row>
    <row r="132" spans="2:11" ht="12.75">
      <c r="B132" s="989"/>
      <c r="C132" s="991"/>
      <c r="D132" s="991"/>
      <c r="E132" s="991" t="s">
        <v>402</v>
      </c>
      <c r="F132" s="1000" t="s">
        <v>360</v>
      </c>
      <c r="G132" s="472">
        <v>919.986</v>
      </c>
      <c r="H132" s="473">
        <v>99.05412619618855</v>
      </c>
      <c r="I132" s="472">
        <v>931.221</v>
      </c>
      <c r="J132" s="473">
        <v>117.11664531044556</v>
      </c>
      <c r="K132" s="1001">
        <f>SUM(I132:J132)</f>
        <v>1048.3376453104456</v>
      </c>
    </row>
    <row r="133" spans="2:10" ht="12.75">
      <c r="B133" s="989"/>
      <c r="C133" s="991"/>
      <c r="D133" s="991"/>
      <c r="E133" s="991" t="s">
        <v>403</v>
      </c>
      <c r="F133" s="1000" t="s">
        <v>360</v>
      </c>
      <c r="G133" s="1004"/>
      <c r="H133" s="1005"/>
      <c r="I133" s="1004"/>
      <c r="J133" s="1005"/>
    </row>
    <row r="134" spans="2:10" ht="12.75">
      <c r="B134" s="989"/>
      <c r="C134" s="991"/>
      <c r="D134" s="991"/>
      <c r="E134" s="991"/>
      <c r="F134" s="996"/>
      <c r="G134" s="1002"/>
      <c r="H134" s="1003"/>
      <c r="I134" s="1002"/>
      <c r="J134" s="1003"/>
    </row>
    <row r="135" spans="2:10" ht="12.75">
      <c r="B135" s="989"/>
      <c r="C135" s="991"/>
      <c r="D135" s="995" t="s">
        <v>376</v>
      </c>
      <c r="E135" s="991"/>
      <c r="F135" s="1000"/>
      <c r="G135" s="1002"/>
      <c r="H135" s="1003"/>
      <c r="I135" s="1002"/>
      <c r="J135" s="1003"/>
    </row>
    <row r="136" spans="2:11" ht="12.75">
      <c r="B136" s="989"/>
      <c r="C136" s="991"/>
      <c r="D136" s="991"/>
      <c r="E136" s="1010" t="s">
        <v>404</v>
      </c>
      <c r="F136" s="1000" t="s">
        <v>360</v>
      </c>
      <c r="G136" s="472">
        <v>1796.53</v>
      </c>
      <c r="H136" s="473">
        <v>193.430888443127</v>
      </c>
      <c r="I136" s="472">
        <v>1880.9530000000002</v>
      </c>
      <c r="J136" s="473">
        <v>236.56135906151013</v>
      </c>
      <c r="K136" s="1001">
        <f>SUM(I136:J136)</f>
        <v>2117.5143590615103</v>
      </c>
    </row>
    <row r="137" spans="2:10" ht="12.75">
      <c r="B137" s="989"/>
      <c r="C137" s="991"/>
      <c r="D137" s="991"/>
      <c r="E137" s="1010" t="s">
        <v>405</v>
      </c>
      <c r="F137" s="1000" t="s">
        <v>360</v>
      </c>
      <c r="G137" s="1004"/>
      <c r="H137" s="1005"/>
      <c r="I137" s="1004"/>
      <c r="J137" s="1005"/>
    </row>
    <row r="138" spans="2:10" ht="13.5" thickBot="1">
      <c r="B138" s="984"/>
      <c r="C138" s="985"/>
      <c r="D138" s="985"/>
      <c r="E138" s="985"/>
      <c r="F138" s="474"/>
      <c r="G138" s="1012"/>
      <c r="H138" s="1013"/>
      <c r="I138" s="1012"/>
      <c r="J138" s="1013"/>
    </row>
    <row r="139" spans="2:10" ht="12.75">
      <c r="B139" s="1008"/>
      <c r="C139" s="1009" t="s">
        <v>278</v>
      </c>
      <c r="D139" s="1009"/>
      <c r="E139" s="1010"/>
      <c r="F139" s="1011"/>
      <c r="G139" s="1002"/>
      <c r="H139" s="1003"/>
      <c r="I139" s="1002"/>
      <c r="J139" s="1003"/>
    </row>
    <row r="140" spans="2:10" ht="12.75">
      <c r="B140" s="989"/>
      <c r="C140" s="991"/>
      <c r="D140" s="995" t="s">
        <v>279</v>
      </c>
      <c r="E140" s="991"/>
      <c r="F140" s="1000"/>
      <c r="G140" s="1002"/>
      <c r="H140" s="1003"/>
      <c r="I140" s="1002"/>
      <c r="J140" s="1003"/>
    </row>
    <row r="141" spans="2:10" ht="12.75">
      <c r="B141" s="989"/>
      <c r="C141" s="991"/>
      <c r="D141" s="991"/>
      <c r="E141" s="1010" t="s">
        <v>280</v>
      </c>
      <c r="F141" s="1000" t="s">
        <v>360</v>
      </c>
      <c r="G141" s="1004"/>
      <c r="H141" s="1005"/>
      <c r="I141" s="1004"/>
      <c r="J141" s="1005"/>
    </row>
    <row r="142" spans="2:10" ht="12.75">
      <c r="B142" s="989"/>
      <c r="C142" s="991"/>
      <c r="D142" s="991"/>
      <c r="E142" s="1010" t="s">
        <v>801</v>
      </c>
      <c r="F142" s="1000" t="s">
        <v>360</v>
      </c>
      <c r="G142" s="1004"/>
      <c r="H142" s="1005"/>
      <c r="I142" s="1004"/>
      <c r="J142" s="1005"/>
    </row>
    <row r="143" spans="2:10" ht="12.75">
      <c r="B143" s="989"/>
      <c r="C143" s="1010"/>
      <c r="D143" s="995"/>
      <c r="E143" s="991"/>
      <c r="F143" s="1000"/>
      <c r="G143" s="1002"/>
      <c r="H143" s="1003"/>
      <c r="I143" s="1002"/>
      <c r="J143" s="1003"/>
    </row>
    <row r="144" spans="2:10" ht="12.75">
      <c r="B144" s="989"/>
      <c r="C144" s="991"/>
      <c r="D144" s="995" t="s">
        <v>802</v>
      </c>
      <c r="E144" s="991"/>
      <c r="F144" s="1000"/>
      <c r="G144" s="1002"/>
      <c r="H144" s="1003"/>
      <c r="I144" s="1002"/>
      <c r="J144" s="1003"/>
    </row>
    <row r="145" spans="2:10" ht="12.75">
      <c r="B145" s="989"/>
      <c r="C145" s="991"/>
      <c r="D145" s="991"/>
      <c r="E145" s="1010" t="s">
        <v>282</v>
      </c>
      <c r="F145" s="1000" t="s">
        <v>360</v>
      </c>
      <c r="G145" s="1004"/>
      <c r="H145" s="1005"/>
      <c r="I145" s="1004"/>
      <c r="J145" s="1005"/>
    </row>
    <row r="146" spans="2:10" ht="12.75">
      <c r="B146" s="989"/>
      <c r="C146" s="991"/>
      <c r="D146" s="991"/>
      <c r="E146" s="1010" t="s">
        <v>283</v>
      </c>
      <c r="F146" s="1000" t="s">
        <v>360</v>
      </c>
      <c r="G146" s="1004"/>
      <c r="H146" s="1005"/>
      <c r="I146" s="1004"/>
      <c r="J146" s="1005"/>
    </row>
    <row r="147" spans="2:10" ht="13.5" thickBot="1">
      <c r="B147" s="984"/>
      <c r="C147" s="985"/>
      <c r="D147" s="985"/>
      <c r="E147" s="985"/>
      <c r="F147" s="474"/>
      <c r="G147" s="1014"/>
      <c r="H147" s="1015"/>
      <c r="I147" s="1014"/>
      <c r="J147" s="1015"/>
    </row>
    <row r="148" spans="2:10" ht="13.5" thickBot="1">
      <c r="B148" s="1010"/>
      <c r="C148" s="1010"/>
      <c r="D148" s="1010"/>
      <c r="E148" s="1010"/>
      <c r="F148" s="1010"/>
      <c r="G148" s="391"/>
      <c r="H148" s="391"/>
      <c r="I148" s="391"/>
      <c r="J148" s="391"/>
    </row>
    <row r="149" spans="2:10" ht="12.75">
      <c r="B149" s="1016"/>
      <c r="C149" s="1017" t="s">
        <v>284</v>
      </c>
      <c r="D149" s="1017"/>
      <c r="E149" s="1018"/>
      <c r="F149" s="1019"/>
      <c r="G149" s="1020"/>
      <c r="H149" s="1021"/>
      <c r="I149" s="1020"/>
      <c r="J149" s="1021"/>
    </row>
    <row r="150" spans="2:10" ht="12.75">
      <c r="B150" s="999"/>
      <c r="C150" s="991"/>
      <c r="D150" s="995"/>
      <c r="E150" s="995" t="s">
        <v>897</v>
      </c>
      <c r="F150" s="1000"/>
      <c r="G150" s="475"/>
      <c r="H150" s="476"/>
      <c r="I150" s="475"/>
      <c r="J150" s="476"/>
    </row>
    <row r="151" spans="2:11" ht="12.75">
      <c r="B151" s="999"/>
      <c r="C151" s="991"/>
      <c r="D151" s="995"/>
      <c r="E151" s="1022" t="s">
        <v>285</v>
      </c>
      <c r="F151" s="1000" t="s">
        <v>360</v>
      </c>
      <c r="G151" s="472">
        <v>24.182000000000002</v>
      </c>
      <c r="H151" s="473">
        <v>2.6036557944101673</v>
      </c>
      <c r="I151" s="472">
        <v>26.001</v>
      </c>
      <c r="J151" s="473">
        <v>3.2700614512740747</v>
      </c>
      <c r="K151" s="1001">
        <f>SUM(I151:J151)</f>
        <v>29.271061451274075</v>
      </c>
    </row>
    <row r="152" spans="2:11" ht="12.75">
      <c r="B152" s="999"/>
      <c r="C152" s="991"/>
      <c r="D152" s="995"/>
      <c r="E152" s="1022" t="s">
        <v>286</v>
      </c>
      <c r="F152" s="1000" t="s">
        <v>360</v>
      </c>
      <c r="G152" s="472">
        <v>6.099</v>
      </c>
      <c r="H152" s="473">
        <v>0.6566742490326527</v>
      </c>
      <c r="I152" s="472">
        <v>6.634</v>
      </c>
      <c r="J152" s="473">
        <v>0.8343366665802167</v>
      </c>
      <c r="K152" s="1001">
        <f>SUM(I152:J152)</f>
        <v>7.468336666580217</v>
      </c>
    </row>
    <row r="153" spans="2:10" ht="12.75">
      <c r="B153" s="999"/>
      <c r="C153" s="991"/>
      <c r="D153" s="995"/>
      <c r="E153" s="995" t="s">
        <v>645</v>
      </c>
      <c r="F153" s="1000"/>
      <c r="G153" s="475"/>
      <c r="H153" s="476"/>
      <c r="I153" s="475"/>
      <c r="J153" s="476"/>
    </row>
    <row r="154" spans="2:11" ht="12.75">
      <c r="B154" s="999"/>
      <c r="C154" s="991"/>
      <c r="D154" s="995"/>
      <c r="E154" s="1022" t="s">
        <v>285</v>
      </c>
      <c r="F154" s="1000" t="s">
        <v>360</v>
      </c>
      <c r="G154" s="472">
        <v>0</v>
      </c>
      <c r="H154" s="473">
        <v>0</v>
      </c>
      <c r="I154" s="472">
        <v>0</v>
      </c>
      <c r="J154" s="473">
        <v>0</v>
      </c>
      <c r="K154" s="1001">
        <f>SUM(I154:J154)</f>
        <v>0</v>
      </c>
    </row>
    <row r="155" spans="2:11" ht="13.5" thickBot="1">
      <c r="B155" s="1023"/>
      <c r="C155" s="1024"/>
      <c r="D155" s="1025"/>
      <c r="E155" s="1026" t="s">
        <v>286</v>
      </c>
      <c r="F155" s="1027" t="s">
        <v>360</v>
      </c>
      <c r="G155" s="477">
        <v>0</v>
      </c>
      <c r="H155" s="478">
        <v>0</v>
      </c>
      <c r="I155" s="477">
        <v>0</v>
      </c>
      <c r="J155" s="478">
        <v>0</v>
      </c>
      <c r="K155" s="1001">
        <f>SUM(I155:J155)</f>
        <v>0</v>
      </c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19.00390625" style="0" customWidth="1"/>
  </cols>
  <sheetData>
    <row r="1" spans="1:8" ht="12.75">
      <c r="A1" s="862" t="s">
        <v>851</v>
      </c>
      <c r="F1" s="857" t="s">
        <v>55</v>
      </c>
      <c r="H1" t="s">
        <v>226</v>
      </c>
    </row>
    <row r="3" ht="12.75">
      <c r="A3" s="862" t="s">
        <v>529</v>
      </c>
    </row>
    <row r="5" spans="3:38" ht="12.75">
      <c r="C5" s="479" t="s">
        <v>227</v>
      </c>
      <c r="D5" s="480"/>
      <c r="E5" s="480"/>
      <c r="F5" s="480"/>
      <c r="G5" s="480"/>
      <c r="H5" s="480"/>
      <c r="I5" s="479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1"/>
    </row>
    <row r="6" spans="3:38" ht="12.75">
      <c r="C6" s="482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4"/>
    </row>
    <row r="7" spans="3:38" ht="12.75" customHeight="1">
      <c r="C7" s="482"/>
      <c r="D7" s="1476" t="s">
        <v>368</v>
      </c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7"/>
      <c r="V7" s="1477"/>
      <c r="W7" s="1477"/>
      <c r="X7" s="1478"/>
      <c r="Y7" s="1473" t="s">
        <v>177</v>
      </c>
      <c r="Z7" s="1473" t="s">
        <v>298</v>
      </c>
      <c r="AA7" s="1473" t="s">
        <v>546</v>
      </c>
      <c r="AB7" s="1473" t="s">
        <v>547</v>
      </c>
      <c r="AC7" s="1473" t="s">
        <v>759</v>
      </c>
      <c r="AD7" s="1473" t="s">
        <v>673</v>
      </c>
      <c r="AE7" s="1473" t="s">
        <v>760</v>
      </c>
      <c r="AF7" s="1473" t="s">
        <v>761</v>
      </c>
      <c r="AG7" s="1473" t="s">
        <v>762</v>
      </c>
      <c r="AH7" s="1473" t="s">
        <v>363</v>
      </c>
      <c r="AI7" s="1473" t="s">
        <v>633</v>
      </c>
      <c r="AJ7" s="1473" t="s">
        <v>634</v>
      </c>
      <c r="AK7" s="1479" t="s">
        <v>380</v>
      </c>
      <c r="AL7" s="485"/>
    </row>
    <row r="8" spans="3:38" ht="12.75">
      <c r="C8" s="482"/>
      <c r="D8" s="1482" t="s">
        <v>517</v>
      </c>
      <c r="E8" s="1483"/>
      <c r="F8" s="1483"/>
      <c r="G8" s="1483"/>
      <c r="H8" s="1483"/>
      <c r="I8" s="1484"/>
      <c r="J8" s="1485" t="s">
        <v>173</v>
      </c>
      <c r="K8" s="1486"/>
      <c r="L8" s="1486"/>
      <c r="M8" s="1486"/>
      <c r="N8" s="1486"/>
      <c r="O8" s="1486"/>
      <c r="P8" s="1486"/>
      <c r="Q8" s="1486"/>
      <c r="R8" s="1486"/>
      <c r="S8" s="1486"/>
      <c r="T8" s="1486"/>
      <c r="U8" s="1486"/>
      <c r="V8" s="1486"/>
      <c r="W8" s="1486"/>
      <c r="X8" s="1487"/>
      <c r="Y8" s="1474"/>
      <c r="Z8" s="1474"/>
      <c r="AA8" s="1474"/>
      <c r="AB8" s="1474"/>
      <c r="AC8" s="1474"/>
      <c r="AD8" s="1474"/>
      <c r="AE8" s="1474"/>
      <c r="AF8" s="1474"/>
      <c r="AG8" s="1474"/>
      <c r="AH8" s="1474"/>
      <c r="AI8" s="1474"/>
      <c r="AJ8" s="1474"/>
      <c r="AK8" s="1480"/>
      <c r="AL8" s="485"/>
    </row>
    <row r="9" spans="3:38" s="973" customFormat="1" ht="131.25">
      <c r="C9" s="506" t="s">
        <v>646</v>
      </c>
      <c r="D9" s="507" t="s">
        <v>219</v>
      </c>
      <c r="E9" s="507" t="s">
        <v>171</v>
      </c>
      <c r="F9" s="507" t="s">
        <v>172</v>
      </c>
      <c r="G9" s="507" t="s">
        <v>739</v>
      </c>
      <c r="H9" s="507" t="s">
        <v>186</v>
      </c>
      <c r="I9" s="507" t="s">
        <v>616</v>
      </c>
      <c r="J9" s="507" t="s">
        <v>674</v>
      </c>
      <c r="K9" s="508" t="s">
        <v>675</v>
      </c>
      <c r="L9" s="508" t="s">
        <v>676</v>
      </c>
      <c r="M9" s="508" t="s">
        <v>677</v>
      </c>
      <c r="N9" s="508" t="s">
        <v>548</v>
      </c>
      <c r="O9" s="508" t="s">
        <v>559</v>
      </c>
      <c r="P9" s="508" t="s">
        <v>60</v>
      </c>
      <c r="Q9" s="508" t="s">
        <v>61</v>
      </c>
      <c r="R9" s="508" t="s">
        <v>551</v>
      </c>
      <c r="S9" s="508" t="s">
        <v>396</v>
      </c>
      <c r="T9" s="508" t="s">
        <v>550</v>
      </c>
      <c r="U9" s="508" t="s">
        <v>687</v>
      </c>
      <c r="V9" s="508" t="s">
        <v>647</v>
      </c>
      <c r="W9" s="508" t="s">
        <v>910</v>
      </c>
      <c r="X9" s="508" t="s">
        <v>176</v>
      </c>
      <c r="Y9" s="1475"/>
      <c r="Z9" s="1475"/>
      <c r="AA9" s="1475"/>
      <c r="AB9" s="1475"/>
      <c r="AC9" s="1475"/>
      <c r="AD9" s="1475"/>
      <c r="AE9" s="1475"/>
      <c r="AF9" s="1475"/>
      <c r="AG9" s="1475"/>
      <c r="AH9" s="1475"/>
      <c r="AI9" s="1475"/>
      <c r="AJ9" s="1475"/>
      <c r="AK9" s="1481"/>
      <c r="AL9" s="509"/>
    </row>
    <row r="10" spans="3:38" ht="12.75">
      <c r="C10" s="486"/>
      <c r="D10" s="487" t="s">
        <v>656</v>
      </c>
      <c r="E10" s="487" t="s">
        <v>656</v>
      </c>
      <c r="F10" s="487" t="s">
        <v>656</v>
      </c>
      <c r="G10" s="487" t="s">
        <v>656</v>
      </c>
      <c r="H10" s="487" t="s">
        <v>656</v>
      </c>
      <c r="I10" s="487" t="s">
        <v>656</v>
      </c>
      <c r="J10" s="487" t="s">
        <v>656</v>
      </c>
      <c r="K10" s="487" t="s">
        <v>656</v>
      </c>
      <c r="L10" s="487" t="s">
        <v>656</v>
      </c>
      <c r="M10" s="487" t="s">
        <v>656</v>
      </c>
      <c r="N10" s="487" t="s">
        <v>656</v>
      </c>
      <c r="O10" s="487" t="s">
        <v>656</v>
      </c>
      <c r="P10" s="487" t="s">
        <v>656</v>
      </c>
      <c r="Q10" s="487" t="s">
        <v>656</v>
      </c>
      <c r="R10" s="487" t="s">
        <v>656</v>
      </c>
      <c r="S10" s="487" t="s">
        <v>656</v>
      </c>
      <c r="T10" s="487" t="s">
        <v>656</v>
      </c>
      <c r="U10" s="487" t="s">
        <v>656</v>
      </c>
      <c r="V10" s="487" t="s">
        <v>656</v>
      </c>
      <c r="W10" s="487" t="s">
        <v>656</v>
      </c>
      <c r="X10" s="487" t="s">
        <v>656</v>
      </c>
      <c r="Y10" s="487" t="s">
        <v>656</v>
      </c>
      <c r="Z10" s="487" t="s">
        <v>656</v>
      </c>
      <c r="AA10" s="487" t="s">
        <v>656</v>
      </c>
      <c r="AB10" s="487" t="s">
        <v>656</v>
      </c>
      <c r="AC10" s="487" t="s">
        <v>656</v>
      </c>
      <c r="AD10" s="487" t="s">
        <v>656</v>
      </c>
      <c r="AE10" s="487" t="s">
        <v>656</v>
      </c>
      <c r="AF10" s="487" t="s">
        <v>656</v>
      </c>
      <c r="AG10" s="487" t="s">
        <v>656</v>
      </c>
      <c r="AH10" s="487" t="s">
        <v>656</v>
      </c>
      <c r="AI10" s="487" t="s">
        <v>656</v>
      </c>
      <c r="AJ10" s="487" t="s">
        <v>656</v>
      </c>
      <c r="AK10" s="487" t="s">
        <v>656</v>
      </c>
      <c r="AL10" s="484"/>
    </row>
    <row r="11" spans="3:38" ht="12.75">
      <c r="C11" s="488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4"/>
    </row>
    <row r="12" spans="3:38" ht="12.75">
      <c r="C12" s="490" t="s">
        <v>505</v>
      </c>
      <c r="D12" s="491">
        <v>46.45952480885201</v>
      </c>
      <c r="E12" s="491">
        <v>62.53166748561878</v>
      </c>
      <c r="F12" s="491">
        <v>2.3969412916799993</v>
      </c>
      <c r="G12" s="491">
        <v>26.514424209436648</v>
      </c>
      <c r="H12" s="491">
        <v>11.606716180984</v>
      </c>
      <c r="I12" s="491">
        <v>3.1208690599999995</v>
      </c>
      <c r="J12" s="491">
        <v>0.6388920716279997</v>
      </c>
      <c r="K12" s="491">
        <v>5.1305774955097965</v>
      </c>
      <c r="L12" s="491">
        <v>2.2167176620892537</v>
      </c>
      <c r="M12" s="491">
        <v>16.939612814221448</v>
      </c>
      <c r="N12" s="491">
        <v>4.430016241559651</v>
      </c>
      <c r="O12" s="491">
        <v>1.5094657008872003</v>
      </c>
      <c r="P12" s="491">
        <v>1.3239399267640004</v>
      </c>
      <c r="Q12" s="491">
        <v>1.562325762189239</v>
      </c>
      <c r="R12" s="491">
        <v>6.15104438548</v>
      </c>
      <c r="S12" s="491">
        <v>10.240069047105548</v>
      </c>
      <c r="T12" s="491">
        <v>4.583609038239856</v>
      </c>
      <c r="U12" s="491">
        <v>1.4397993171236436</v>
      </c>
      <c r="V12" s="491">
        <v>2.0706365899867683</v>
      </c>
      <c r="W12" s="491">
        <v>7.544493072155657</v>
      </c>
      <c r="X12" s="491">
        <v>1.6451252035656032</v>
      </c>
      <c r="Y12" s="491">
        <v>1.32151902</v>
      </c>
      <c r="Z12" s="491">
        <v>9.5</v>
      </c>
      <c r="AA12" s="491">
        <v>0.793782</v>
      </c>
      <c r="AB12" s="491">
        <v>9.751431000299192</v>
      </c>
      <c r="AC12" s="491">
        <v>-8.326672684688674E-16</v>
      </c>
      <c r="AD12" s="491">
        <v>1.0145090392</v>
      </c>
      <c r="AE12" s="491">
        <v>4.303287332805833</v>
      </c>
      <c r="AF12" s="491">
        <v>41.9127568597</v>
      </c>
      <c r="AG12" s="491">
        <v>27.091992</v>
      </c>
      <c r="AH12" s="491">
        <v>4.4</v>
      </c>
      <c r="AI12" s="491">
        <v>-9.5</v>
      </c>
      <c r="AJ12" s="491">
        <v>2.354255382917927</v>
      </c>
      <c r="AK12" s="491">
        <v>313</v>
      </c>
      <c r="AL12" s="492"/>
    </row>
    <row r="13" spans="3:38" ht="12.75">
      <c r="C13" s="490" t="s">
        <v>506</v>
      </c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4">
        <v>0</v>
      </c>
      <c r="AL13" s="492"/>
    </row>
    <row r="14" spans="3:38" ht="12.75">
      <c r="C14" s="490" t="s">
        <v>505</v>
      </c>
      <c r="D14" s="491">
        <v>46.45952480885201</v>
      </c>
      <c r="E14" s="491">
        <v>62.53166748561878</v>
      </c>
      <c r="F14" s="491">
        <v>2.3969412916799993</v>
      </c>
      <c r="G14" s="491">
        <v>26.514424209436648</v>
      </c>
      <c r="H14" s="491">
        <v>11.606716180984</v>
      </c>
      <c r="I14" s="491">
        <v>3.1208690599999995</v>
      </c>
      <c r="J14" s="491">
        <v>0.6388920716279997</v>
      </c>
      <c r="K14" s="491">
        <v>5.1305774955097965</v>
      </c>
      <c r="L14" s="491">
        <v>2.2167176620892537</v>
      </c>
      <c r="M14" s="491">
        <v>16.939612814221448</v>
      </c>
      <c r="N14" s="491">
        <v>4.430016241559651</v>
      </c>
      <c r="O14" s="491">
        <v>1.5094657008872003</v>
      </c>
      <c r="P14" s="491">
        <v>1.3239399267640004</v>
      </c>
      <c r="Q14" s="491">
        <v>1.562325762189239</v>
      </c>
      <c r="R14" s="491">
        <v>6.15104438548</v>
      </c>
      <c r="S14" s="491">
        <v>10.240069047105548</v>
      </c>
      <c r="T14" s="491">
        <v>4.583609038239856</v>
      </c>
      <c r="U14" s="491">
        <v>1.4397993171236436</v>
      </c>
      <c r="V14" s="491">
        <v>2.0706365899867683</v>
      </c>
      <c r="W14" s="491">
        <v>7.544493072155657</v>
      </c>
      <c r="X14" s="491">
        <v>1.6451252035656032</v>
      </c>
      <c r="Y14" s="491">
        <v>1.32151902</v>
      </c>
      <c r="Z14" s="491">
        <v>9.5</v>
      </c>
      <c r="AA14" s="491">
        <v>0.793782</v>
      </c>
      <c r="AB14" s="491">
        <v>9.751431000299192</v>
      </c>
      <c r="AC14" s="491">
        <v>-8.326672684688674E-16</v>
      </c>
      <c r="AD14" s="491">
        <v>1.0145090392</v>
      </c>
      <c r="AE14" s="491">
        <v>4.303287332805833</v>
      </c>
      <c r="AF14" s="491">
        <v>41.9127568597</v>
      </c>
      <c r="AG14" s="491">
        <v>27.091992</v>
      </c>
      <c r="AH14" s="491">
        <v>4.4</v>
      </c>
      <c r="AI14" s="491">
        <v>-9.5</v>
      </c>
      <c r="AJ14" s="491">
        <v>2.354255382917927</v>
      </c>
      <c r="AK14" s="491">
        <v>313</v>
      </c>
      <c r="AL14" s="492"/>
    </row>
    <row r="15" spans="3:38" ht="12.75">
      <c r="C15" s="490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2"/>
    </row>
    <row r="16" spans="3:38" ht="12.75">
      <c r="C16" s="490" t="s">
        <v>507</v>
      </c>
      <c r="D16" s="491">
        <v>14.151282694386488</v>
      </c>
      <c r="E16" s="491">
        <v>41.90194756572969</v>
      </c>
      <c r="F16" s="491">
        <v>2.5346743360699997</v>
      </c>
      <c r="G16" s="491">
        <v>29.351257701719597</v>
      </c>
      <c r="H16" s="491">
        <v>11.519941237081493</v>
      </c>
      <c r="I16" s="491">
        <v>5.825763445663723</v>
      </c>
      <c r="J16" s="491">
        <v>1.3252198300408482</v>
      </c>
      <c r="K16" s="491">
        <v>3.790077663632054</v>
      </c>
      <c r="L16" s="491">
        <v>4.791652885966827</v>
      </c>
      <c r="M16" s="491">
        <v>16.963168868641358</v>
      </c>
      <c r="N16" s="491">
        <v>4.409279531704463</v>
      </c>
      <c r="O16" s="491">
        <v>1.8923039644686004</v>
      </c>
      <c r="P16" s="491">
        <v>1.9938320736628832</v>
      </c>
      <c r="Q16" s="491">
        <v>1.5195982432433788</v>
      </c>
      <c r="R16" s="491">
        <v>4.861532251923211</v>
      </c>
      <c r="S16" s="491">
        <v>13.529966622211505</v>
      </c>
      <c r="T16" s="491">
        <v>4.231771453152621</v>
      </c>
      <c r="U16" s="491">
        <v>1.920822301926078</v>
      </c>
      <c r="V16" s="491">
        <v>2.264192227921714</v>
      </c>
      <c r="W16" s="491">
        <v>7.164521556798553</v>
      </c>
      <c r="X16" s="491">
        <v>1.8087584738886002</v>
      </c>
      <c r="Y16" s="491">
        <v>1.5637426</v>
      </c>
      <c r="Z16" s="491">
        <v>0</v>
      </c>
      <c r="AA16" s="491">
        <v>5.3809152985718995</v>
      </c>
      <c r="AB16" s="491">
        <v>15.699185752649853</v>
      </c>
      <c r="AC16" s="491">
        <v>0</v>
      </c>
      <c r="AD16" s="491">
        <v>0</v>
      </c>
      <c r="AE16" s="491">
        <v>1.840755964169381</v>
      </c>
      <c r="AF16" s="491">
        <v>40.602506950469994</v>
      </c>
      <c r="AG16" s="491">
        <v>26.11161722</v>
      </c>
      <c r="AH16" s="491">
        <v>4.56627909</v>
      </c>
      <c r="AI16" s="491">
        <v>0</v>
      </c>
      <c r="AJ16" s="491">
        <v>-5.790682305694702</v>
      </c>
      <c r="AK16" s="491">
        <v>267.7258855000001</v>
      </c>
      <c r="AL16" s="495"/>
    </row>
    <row r="17" spans="3:38" ht="12.75">
      <c r="C17" s="490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5"/>
    </row>
    <row r="18" spans="3:38" ht="12.75">
      <c r="C18" s="490" t="s">
        <v>508</v>
      </c>
      <c r="D18" s="491">
        <v>17.394742274489687</v>
      </c>
      <c r="E18" s="491">
        <v>35.08811591699333</v>
      </c>
      <c r="F18" s="491">
        <v>1.9914601539999999</v>
      </c>
      <c r="G18" s="491">
        <v>27.18651515131823</v>
      </c>
      <c r="H18" s="491">
        <v>10.780594265829606</v>
      </c>
      <c r="I18" s="491">
        <v>3.2645322649343638</v>
      </c>
      <c r="J18" s="491">
        <v>0.4211682106741311</v>
      </c>
      <c r="K18" s="491">
        <v>7.246254914326732</v>
      </c>
      <c r="L18" s="491">
        <v>6.103740316794621</v>
      </c>
      <c r="M18" s="491">
        <v>11.676644510200507</v>
      </c>
      <c r="N18" s="491">
        <v>3.700724090648064</v>
      </c>
      <c r="O18" s="491">
        <v>1.9451231500906572</v>
      </c>
      <c r="P18" s="491">
        <v>1.4674598631707632</v>
      </c>
      <c r="Q18" s="491">
        <v>2.007539016691029</v>
      </c>
      <c r="R18" s="491">
        <v>4.131220291026214</v>
      </c>
      <c r="S18" s="491">
        <v>7.058716614166475</v>
      </c>
      <c r="T18" s="491">
        <v>4.89466808916952</v>
      </c>
      <c r="U18" s="491">
        <v>1.2662056907617996</v>
      </c>
      <c r="V18" s="491">
        <v>2.003427340314265</v>
      </c>
      <c r="W18" s="491">
        <v>6.769523647463686</v>
      </c>
      <c r="X18" s="491">
        <v>2.2294360003843123</v>
      </c>
      <c r="Y18" s="491">
        <v>5.829502</v>
      </c>
      <c r="Z18" s="491">
        <v>45.6</v>
      </c>
      <c r="AA18" s="491">
        <v>9.217199070545988</v>
      </c>
      <c r="AB18" s="491">
        <v>8.651047224300147</v>
      </c>
      <c r="AC18" s="491">
        <v>0</v>
      </c>
      <c r="AD18" s="491">
        <v>0</v>
      </c>
      <c r="AE18" s="491">
        <v>0</v>
      </c>
      <c r="AF18" s="491">
        <v>42.38852399</v>
      </c>
      <c r="AG18" s="491">
        <v>25.86389</v>
      </c>
      <c r="AH18" s="491">
        <v>4.738285009999999</v>
      </c>
      <c r="AI18" s="491">
        <v>-45.6</v>
      </c>
      <c r="AJ18" s="491">
        <v>-5.04625906829412</v>
      </c>
      <c r="AK18" s="491">
        <v>250.27</v>
      </c>
      <c r="AL18" s="495"/>
    </row>
    <row r="19" spans="3:38" ht="12.75">
      <c r="C19" s="496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2"/>
    </row>
    <row r="20" spans="3:38" ht="12.75">
      <c r="C20" s="483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2"/>
    </row>
    <row r="21" spans="3:38" ht="12.75">
      <c r="C21" s="499" t="s">
        <v>192</v>
      </c>
      <c r="D21" s="499"/>
      <c r="E21" s="499"/>
      <c r="F21" s="500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2"/>
      <c r="S21" s="499"/>
      <c r="T21" s="499"/>
      <c r="U21" s="499"/>
      <c r="V21" s="499"/>
      <c r="W21" s="499"/>
      <c r="X21" s="499"/>
      <c r="Y21" s="499"/>
      <c r="Z21" s="499"/>
      <c r="AA21" s="499"/>
      <c r="AB21" s="498"/>
      <c r="AC21" s="498"/>
      <c r="AD21" s="498"/>
      <c r="AE21" s="498"/>
      <c r="AF21" s="498"/>
      <c r="AG21" s="498"/>
      <c r="AH21" s="498"/>
      <c r="AI21" s="498"/>
      <c r="AJ21" s="498"/>
      <c r="AK21" s="498"/>
      <c r="AL21" s="492"/>
    </row>
    <row r="22" spans="3:38" ht="12.75" customHeight="1">
      <c r="C22" s="499">
        <v>1</v>
      </c>
      <c r="D22" s="1488" t="s">
        <v>178</v>
      </c>
      <c r="E22" s="1489"/>
      <c r="F22" s="1489"/>
      <c r="G22" s="1489"/>
      <c r="H22" s="1489"/>
      <c r="I22" s="1489"/>
      <c r="J22" s="1489"/>
      <c r="K22" s="1489"/>
      <c r="L22" s="1489"/>
      <c r="M22" s="1489"/>
      <c r="N22" s="1489"/>
      <c r="O22" s="1489"/>
      <c r="P22" s="1489"/>
      <c r="Q22" s="1489"/>
      <c r="R22" s="1489"/>
      <c r="S22" s="1489"/>
      <c r="T22" s="1489"/>
      <c r="U22" s="1489"/>
      <c r="V22" s="1489"/>
      <c r="W22" s="1489"/>
      <c r="X22" s="1489"/>
      <c r="Y22" s="1489"/>
      <c r="Z22" s="1489"/>
      <c r="AA22" s="1489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2"/>
    </row>
    <row r="23" spans="3:38" ht="12.75" customHeight="1">
      <c r="C23" s="499">
        <v>2</v>
      </c>
      <c r="D23" s="1488" t="s">
        <v>106</v>
      </c>
      <c r="E23" s="1489"/>
      <c r="F23" s="1489"/>
      <c r="G23" s="1489"/>
      <c r="H23" s="1489"/>
      <c r="I23" s="1489"/>
      <c r="J23" s="1489"/>
      <c r="K23" s="1489"/>
      <c r="L23" s="1489"/>
      <c r="M23" s="1489"/>
      <c r="N23" s="1489"/>
      <c r="O23" s="1489"/>
      <c r="P23" s="1489"/>
      <c r="Q23" s="1489"/>
      <c r="R23" s="1489"/>
      <c r="S23" s="1489"/>
      <c r="T23" s="1489"/>
      <c r="U23" s="1489"/>
      <c r="V23" s="1489"/>
      <c r="W23" s="1489"/>
      <c r="X23" s="1489"/>
      <c r="Y23" s="1489"/>
      <c r="Z23" s="1489"/>
      <c r="AA23" s="1489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2"/>
    </row>
    <row r="24" spans="3:38" ht="12.75" customHeight="1">
      <c r="C24" s="499">
        <v>3</v>
      </c>
      <c r="D24" s="1488" t="s">
        <v>289</v>
      </c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2"/>
    </row>
    <row r="25" spans="3:38" ht="12.75" customHeight="1">
      <c r="C25" s="499">
        <v>4</v>
      </c>
      <c r="D25" s="1488" t="s">
        <v>90</v>
      </c>
      <c r="E25" s="1489"/>
      <c r="F25" s="1489"/>
      <c r="G25" s="1489"/>
      <c r="H25" s="1489"/>
      <c r="I25" s="1489"/>
      <c r="J25" s="1489"/>
      <c r="K25" s="1489"/>
      <c r="L25" s="1489"/>
      <c r="M25" s="1489"/>
      <c r="N25" s="1489"/>
      <c r="O25" s="1489"/>
      <c r="P25" s="1489"/>
      <c r="Q25" s="1489"/>
      <c r="R25" s="1489"/>
      <c r="S25" s="1489"/>
      <c r="T25" s="1489"/>
      <c r="U25" s="1489"/>
      <c r="V25" s="1489"/>
      <c r="W25" s="1489"/>
      <c r="X25" s="1489"/>
      <c r="Y25" s="1489"/>
      <c r="Z25" s="1489"/>
      <c r="AA25" s="1489"/>
      <c r="AB25" s="498"/>
      <c r="AC25" s="498"/>
      <c r="AD25" s="498"/>
      <c r="AE25" s="498"/>
      <c r="AF25" s="498"/>
      <c r="AG25" s="498"/>
      <c r="AH25" s="498"/>
      <c r="AI25" s="498"/>
      <c r="AJ25" s="498"/>
      <c r="AK25" s="498"/>
      <c r="AL25" s="492"/>
    </row>
    <row r="26" spans="3:38" ht="12.75" customHeight="1">
      <c r="C26" s="499">
        <v>5</v>
      </c>
      <c r="D26" s="1488" t="s">
        <v>91</v>
      </c>
      <c r="E26" s="1489"/>
      <c r="F26" s="1489"/>
      <c r="G26" s="1489"/>
      <c r="H26" s="1489"/>
      <c r="I26" s="1489"/>
      <c r="J26" s="1489"/>
      <c r="K26" s="1489"/>
      <c r="L26" s="1489"/>
      <c r="M26" s="1489"/>
      <c r="N26" s="1489"/>
      <c r="O26" s="1489"/>
      <c r="P26" s="1489"/>
      <c r="Q26" s="1489"/>
      <c r="R26" s="1489"/>
      <c r="S26" s="1489"/>
      <c r="T26" s="1489"/>
      <c r="U26" s="1489"/>
      <c r="V26" s="1489"/>
      <c r="W26" s="1489"/>
      <c r="X26" s="1489"/>
      <c r="Y26" s="1489"/>
      <c r="Z26" s="1489"/>
      <c r="AA26" s="1489"/>
      <c r="AB26" s="498"/>
      <c r="AC26" s="498"/>
      <c r="AD26" s="498"/>
      <c r="AE26" s="498"/>
      <c r="AF26" s="498"/>
      <c r="AG26" s="498"/>
      <c r="AH26" s="498"/>
      <c r="AI26" s="498"/>
      <c r="AJ26" s="498"/>
      <c r="AK26" s="498"/>
      <c r="AL26" s="492"/>
    </row>
    <row r="27" spans="3:38" ht="12.75">
      <c r="C27" s="503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5"/>
    </row>
  </sheetData>
  <sheetProtection/>
  <mergeCells count="21">
    <mergeCell ref="D26:AA26"/>
    <mergeCell ref="D22:AA22"/>
    <mergeCell ref="D23:AA23"/>
    <mergeCell ref="D24:AA24"/>
    <mergeCell ref="D25:AA25"/>
    <mergeCell ref="D7:X7"/>
    <mergeCell ref="Y7:Y9"/>
    <mergeCell ref="Z7:Z9"/>
    <mergeCell ref="AD7:AD9"/>
    <mergeCell ref="AK7:AK9"/>
    <mergeCell ref="D8:I8"/>
    <mergeCell ref="J8:X8"/>
    <mergeCell ref="AF7:AF9"/>
    <mergeCell ref="AG7:AG9"/>
    <mergeCell ref="AA7:AA9"/>
    <mergeCell ref="AH7:AH9"/>
    <mergeCell ref="AI7:AI9"/>
    <mergeCell ref="AB7:AB9"/>
    <mergeCell ref="AC7:AC9"/>
    <mergeCell ref="AJ7:AJ9"/>
    <mergeCell ref="AE7:AE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862" t="s">
        <v>851</v>
      </c>
      <c r="E1" s="857" t="s">
        <v>55</v>
      </c>
    </row>
    <row r="2" ht="12.75">
      <c r="A2" s="862"/>
    </row>
    <row r="3" ht="12.75">
      <c r="A3" s="862" t="s">
        <v>529</v>
      </c>
    </row>
    <row r="5" spans="1:18" ht="16.5" thickBot="1">
      <c r="A5" s="943" t="s">
        <v>630</v>
      </c>
      <c r="B5" s="517"/>
      <c r="C5" s="517"/>
      <c r="D5" s="518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</row>
    <row r="6" spans="1:18" ht="13.5" thickBot="1">
      <c r="A6" s="517"/>
      <c r="B6" s="517"/>
      <c r="C6" s="517"/>
      <c r="D6" s="518"/>
      <c r="E6" s="517"/>
      <c r="F6" s="517"/>
      <c r="G6" s="517"/>
      <c r="H6" s="517"/>
      <c r="I6" s="517"/>
      <c r="J6" s="517"/>
      <c r="K6" s="517"/>
      <c r="L6" s="517"/>
      <c r="M6" s="1496" t="s">
        <v>500</v>
      </c>
      <c r="N6" s="1497"/>
      <c r="O6" s="1497"/>
      <c r="P6" s="1497"/>
      <c r="Q6" s="1498"/>
      <c r="R6" s="517"/>
    </row>
    <row r="7" spans="1:18" s="946" customFormat="1" ht="13.5" customHeight="1" thickBot="1">
      <c r="A7" s="944"/>
      <c r="B7" s="944"/>
      <c r="C7" s="944"/>
      <c r="D7" s="945"/>
      <c r="E7" s="1499" t="s">
        <v>751</v>
      </c>
      <c r="F7" s="1500"/>
      <c r="G7" s="1501"/>
      <c r="H7" s="624"/>
      <c r="I7" s="1502" t="s">
        <v>752</v>
      </c>
      <c r="J7" s="1503"/>
      <c r="K7" s="1504"/>
      <c r="L7" s="944"/>
      <c r="M7" s="1505" t="s">
        <v>751</v>
      </c>
      <c r="N7" s="1506"/>
      <c r="O7" s="1507"/>
      <c r="P7" s="625"/>
      <c r="Q7" s="1511" t="s">
        <v>739</v>
      </c>
      <c r="R7" s="945"/>
    </row>
    <row r="8" spans="1:18" ht="15" thickBot="1">
      <c r="A8" s="519"/>
      <c r="B8" s="519"/>
      <c r="C8" s="519"/>
      <c r="D8" s="521"/>
      <c r="E8" s="626"/>
      <c r="F8" s="627" t="s">
        <v>839</v>
      </c>
      <c r="G8" s="628"/>
      <c r="H8" s="624"/>
      <c r="I8" s="629" t="s">
        <v>839</v>
      </c>
      <c r="J8" s="515"/>
      <c r="K8" s="630" t="s">
        <v>840</v>
      </c>
      <c r="L8" s="510"/>
      <c r="M8" s="1508"/>
      <c r="N8" s="1509"/>
      <c r="O8" s="1510"/>
      <c r="P8" s="510"/>
      <c r="Q8" s="1512"/>
      <c r="R8" s="523"/>
    </row>
    <row r="9" spans="1:18" ht="16.5" thickBot="1">
      <c r="A9" s="1490" t="s">
        <v>841</v>
      </c>
      <c r="B9" s="1491"/>
      <c r="C9" s="1492"/>
      <c r="D9" s="524"/>
      <c r="E9" s="947" t="s">
        <v>842</v>
      </c>
      <c r="F9" s="948" t="s">
        <v>854</v>
      </c>
      <c r="G9" s="949" t="s">
        <v>855</v>
      </c>
      <c r="H9" s="950"/>
      <c r="I9" s="629" t="s">
        <v>855</v>
      </c>
      <c r="J9" s="762"/>
      <c r="K9" s="951" t="s">
        <v>855</v>
      </c>
      <c r="L9" s="510"/>
      <c r="M9" s="952" t="s">
        <v>842</v>
      </c>
      <c r="N9" s="953" t="s">
        <v>854</v>
      </c>
      <c r="O9" s="954" t="s">
        <v>855</v>
      </c>
      <c r="P9" s="510"/>
      <c r="Q9" s="951" t="s">
        <v>855</v>
      </c>
      <c r="R9" s="523"/>
    </row>
    <row r="10" spans="1:18" ht="16.5" thickBot="1">
      <c r="A10" s="1493"/>
      <c r="B10" s="1494"/>
      <c r="C10" s="1495"/>
      <c r="D10" s="524"/>
      <c r="E10" s="955" t="s">
        <v>656</v>
      </c>
      <c r="F10" s="956" t="s">
        <v>656</v>
      </c>
      <c r="G10" s="957" t="s">
        <v>656</v>
      </c>
      <c r="H10" s="624"/>
      <c r="I10" s="958" t="s">
        <v>656</v>
      </c>
      <c r="J10" s="762"/>
      <c r="K10" s="958" t="s">
        <v>656</v>
      </c>
      <c r="L10" s="510"/>
      <c r="M10" s="959" t="s">
        <v>656</v>
      </c>
      <c r="N10" s="960" t="s">
        <v>656</v>
      </c>
      <c r="O10" s="958" t="s">
        <v>656</v>
      </c>
      <c r="P10" s="510"/>
      <c r="Q10" s="958" t="s">
        <v>656</v>
      </c>
      <c r="R10" s="523"/>
    </row>
    <row r="11" spans="1:18" ht="14.25" customHeight="1">
      <c r="A11" s="1520" t="s">
        <v>856</v>
      </c>
      <c r="B11" s="1522" t="s">
        <v>715</v>
      </c>
      <c r="C11" s="1523"/>
      <c r="D11" s="527"/>
      <c r="E11" s="1524">
        <v>0</v>
      </c>
      <c r="F11" s="1526">
        <v>0.361815199957742</v>
      </c>
      <c r="G11" s="1528">
        <f>SUM(E11:F11)</f>
        <v>0.361815199957742</v>
      </c>
      <c r="H11" s="528"/>
      <c r="I11" s="529">
        <v>0.44431694812253475</v>
      </c>
      <c r="J11" s="521"/>
      <c r="K11" s="529">
        <v>0</v>
      </c>
      <c r="L11" s="523"/>
      <c r="M11" s="523"/>
      <c r="N11" s="523"/>
      <c r="O11" s="523"/>
      <c r="P11" s="523"/>
      <c r="Q11" s="523"/>
      <c r="R11" s="523"/>
    </row>
    <row r="12" spans="1:18" ht="14.25">
      <c r="A12" s="1521"/>
      <c r="B12" s="1529" t="s">
        <v>716</v>
      </c>
      <c r="C12" s="1530"/>
      <c r="D12" s="527"/>
      <c r="E12" s="1525"/>
      <c r="F12" s="1527"/>
      <c r="G12" s="1515"/>
      <c r="H12" s="528"/>
      <c r="I12" s="532">
        <v>4.79533677040899</v>
      </c>
      <c r="J12" s="521"/>
      <c r="K12" s="532">
        <v>0</v>
      </c>
      <c r="L12" s="523"/>
      <c r="M12" s="523"/>
      <c r="N12" s="523"/>
      <c r="O12" s="523"/>
      <c r="P12" s="523"/>
      <c r="Q12" s="523"/>
      <c r="R12" s="523"/>
    </row>
    <row r="13" spans="1:18" ht="14.25" customHeight="1">
      <c r="A13" s="1531" t="s">
        <v>695</v>
      </c>
      <c r="B13" s="1534" t="s">
        <v>62</v>
      </c>
      <c r="C13" s="1535"/>
      <c r="D13" s="527"/>
      <c r="E13" s="533">
        <v>0.397179372458015</v>
      </c>
      <c r="F13" s="961">
        <v>0.118111357439522</v>
      </c>
      <c r="G13" s="534">
        <f>SUM(E13:F13)</f>
        <v>0.515290729897537</v>
      </c>
      <c r="H13" s="528"/>
      <c r="I13" s="532">
        <v>1.19960729316716</v>
      </c>
      <c r="J13" s="521"/>
      <c r="K13" s="532">
        <v>0.20706630150757177</v>
      </c>
      <c r="L13" s="523"/>
      <c r="M13" s="523"/>
      <c r="N13" s="523"/>
      <c r="O13" s="523"/>
      <c r="P13" s="523"/>
      <c r="Q13" s="523"/>
      <c r="R13" s="523"/>
    </row>
    <row r="14" spans="1:18" ht="14.25" customHeight="1">
      <c r="A14" s="1532"/>
      <c r="B14" s="1516" t="s">
        <v>765</v>
      </c>
      <c r="C14" s="1517"/>
      <c r="D14" s="527"/>
      <c r="E14" s="1536">
        <v>0.229663769257235</v>
      </c>
      <c r="F14" s="1538">
        <v>0.112411254057019</v>
      </c>
      <c r="G14" s="1513">
        <f>SUM(E14:F14)</f>
        <v>0.342075023314254</v>
      </c>
      <c r="H14" s="528"/>
      <c r="I14" s="532">
        <v>0.009238394059173649</v>
      </c>
      <c r="J14" s="521"/>
      <c r="K14" s="532">
        <v>0</v>
      </c>
      <c r="L14" s="523"/>
      <c r="M14" s="523"/>
      <c r="N14" s="523"/>
      <c r="O14" s="523"/>
      <c r="P14" s="523"/>
      <c r="Q14" s="523"/>
      <c r="R14" s="523"/>
    </row>
    <row r="15" spans="1:18" ht="14.25" customHeight="1">
      <c r="A15" s="1532"/>
      <c r="B15" s="1516" t="s">
        <v>766</v>
      </c>
      <c r="C15" s="1517"/>
      <c r="D15" s="527"/>
      <c r="E15" s="1537">
        <v>0</v>
      </c>
      <c r="F15" s="1539">
        <v>0</v>
      </c>
      <c r="G15" s="1514"/>
      <c r="H15" s="528"/>
      <c r="I15" s="532">
        <v>9.29625375721567</v>
      </c>
      <c r="J15" s="521"/>
      <c r="K15" s="532">
        <v>0</v>
      </c>
      <c r="L15" s="523"/>
      <c r="M15" s="523"/>
      <c r="N15" s="523"/>
      <c r="O15" s="523"/>
      <c r="P15" s="523"/>
      <c r="Q15" s="523"/>
      <c r="R15" s="523"/>
    </row>
    <row r="16" spans="1:18" ht="15" customHeight="1" thickBot="1">
      <c r="A16" s="1533"/>
      <c r="B16" s="1518" t="s">
        <v>64</v>
      </c>
      <c r="C16" s="1519"/>
      <c r="D16" s="527"/>
      <c r="E16" s="1525">
        <v>0</v>
      </c>
      <c r="F16" s="1527">
        <v>0</v>
      </c>
      <c r="G16" s="1515"/>
      <c r="H16" s="528"/>
      <c r="I16" s="535">
        <v>0.20110809962398224</v>
      </c>
      <c r="J16" s="521"/>
      <c r="K16" s="535">
        <v>0</v>
      </c>
      <c r="L16" s="523"/>
      <c r="M16" s="523"/>
      <c r="N16" s="523"/>
      <c r="O16" s="523"/>
      <c r="P16" s="523"/>
      <c r="Q16" s="523"/>
      <c r="R16" s="523"/>
    </row>
    <row r="17" spans="1:18" ht="14.25" customHeight="1">
      <c r="A17" s="1541" t="s">
        <v>767</v>
      </c>
      <c r="B17" s="1553" t="s">
        <v>65</v>
      </c>
      <c r="C17" s="1554"/>
      <c r="D17" s="536"/>
      <c r="E17" s="533">
        <v>0.026450309304946802</v>
      </c>
      <c r="F17" s="961">
        <v>0.32631011622364703</v>
      </c>
      <c r="G17" s="534">
        <f aca="true" t="shared" si="0" ref="G17:G27">SUM(E17:F17)</f>
        <v>0.3527604255285938</v>
      </c>
      <c r="H17" s="528"/>
      <c r="I17" s="529">
        <v>1.9214642911566087</v>
      </c>
      <c r="J17" s="521"/>
      <c r="K17" s="537">
        <v>0.1739622662704251</v>
      </c>
      <c r="L17" s="523"/>
      <c r="M17" s="523"/>
      <c r="N17" s="523"/>
      <c r="O17" s="523"/>
      <c r="P17" s="523"/>
      <c r="Q17" s="523"/>
      <c r="R17" s="523"/>
    </row>
    <row r="18" spans="1:18" ht="14.25" customHeight="1">
      <c r="A18" s="1542"/>
      <c r="B18" s="1555" t="s">
        <v>618</v>
      </c>
      <c r="C18" s="1556"/>
      <c r="D18" s="538"/>
      <c r="E18" s="550">
        <v>0</v>
      </c>
      <c r="F18" s="962">
        <v>0.15632920001592032</v>
      </c>
      <c r="G18" s="539">
        <f t="shared" si="0"/>
        <v>0.15632920001592032</v>
      </c>
      <c r="H18" s="528"/>
      <c r="I18" s="532">
        <v>4.34436105494588</v>
      </c>
      <c r="J18" s="521"/>
      <c r="K18" s="532">
        <v>0</v>
      </c>
      <c r="L18" s="523"/>
      <c r="M18" s="523"/>
      <c r="N18" s="523"/>
      <c r="O18" s="523"/>
      <c r="P18" s="523"/>
      <c r="Q18" s="523"/>
      <c r="R18" s="523"/>
    </row>
    <row r="19" spans="1:18" ht="15" customHeight="1" thickBot="1">
      <c r="A19" s="1552"/>
      <c r="B19" s="1546" t="s">
        <v>329</v>
      </c>
      <c r="C19" s="1547"/>
      <c r="D19" s="536"/>
      <c r="E19" s="963">
        <v>0.5209554797296759</v>
      </c>
      <c r="F19" s="964">
        <v>3.7559833450097067</v>
      </c>
      <c r="G19" s="542">
        <f t="shared" si="0"/>
        <v>4.276938824739383</v>
      </c>
      <c r="H19" s="528"/>
      <c r="I19" s="535">
        <v>0.5505005436477161</v>
      </c>
      <c r="J19" s="521"/>
      <c r="K19" s="543">
        <v>0</v>
      </c>
      <c r="L19" s="523"/>
      <c r="M19" s="523"/>
      <c r="N19" s="523"/>
      <c r="O19" s="523"/>
      <c r="P19" s="523"/>
      <c r="Q19" s="523"/>
      <c r="R19" s="523"/>
    </row>
    <row r="20" spans="1:18" ht="14.25" customHeight="1">
      <c r="A20" s="1540" t="s">
        <v>880</v>
      </c>
      <c r="B20" s="1544" t="s">
        <v>65</v>
      </c>
      <c r="C20" s="1545"/>
      <c r="D20" s="536"/>
      <c r="E20" s="549">
        <v>0</v>
      </c>
      <c r="F20" s="965">
        <v>0</v>
      </c>
      <c r="G20" s="544">
        <f t="shared" si="0"/>
        <v>0</v>
      </c>
      <c r="H20" s="528"/>
      <c r="I20" s="529">
        <v>0.4504941082177661</v>
      </c>
      <c r="J20" s="521"/>
      <c r="K20" s="529">
        <v>0</v>
      </c>
      <c r="L20" s="523"/>
      <c r="M20" s="523"/>
      <c r="N20" s="523"/>
      <c r="O20" s="523"/>
      <c r="P20" s="523"/>
      <c r="Q20" s="523"/>
      <c r="R20" s="523"/>
    </row>
    <row r="21" spans="1:18" ht="14.25" customHeight="1">
      <c r="A21" s="1541"/>
      <c r="B21" s="530" t="s">
        <v>330</v>
      </c>
      <c r="C21" s="545"/>
      <c r="D21" s="546"/>
      <c r="E21" s="533">
        <v>0</v>
      </c>
      <c r="F21" s="961">
        <v>0</v>
      </c>
      <c r="G21" s="534">
        <f t="shared" si="0"/>
        <v>0</v>
      </c>
      <c r="H21" s="528"/>
      <c r="I21" s="537">
        <v>0.00012794757770246144</v>
      </c>
      <c r="J21" s="521"/>
      <c r="K21" s="537">
        <v>0</v>
      </c>
      <c r="L21" s="523"/>
      <c r="M21" s="523"/>
      <c r="N21" s="523"/>
      <c r="O21" s="523"/>
      <c r="P21" s="523"/>
      <c r="Q21" s="523"/>
      <c r="R21" s="523"/>
    </row>
    <row r="22" spans="1:18" ht="14.25" customHeight="1">
      <c r="A22" s="1542"/>
      <c r="B22" s="530" t="s">
        <v>331</v>
      </c>
      <c r="C22" s="545"/>
      <c r="D22" s="546"/>
      <c r="E22" s="550">
        <v>0</v>
      </c>
      <c r="F22" s="962">
        <v>0</v>
      </c>
      <c r="G22" s="539">
        <f t="shared" si="0"/>
        <v>0</v>
      </c>
      <c r="H22" s="528"/>
      <c r="I22" s="532">
        <v>0.5068958705730329</v>
      </c>
      <c r="J22" s="521"/>
      <c r="K22" s="532">
        <v>0</v>
      </c>
      <c r="L22" s="523"/>
      <c r="M22" s="523"/>
      <c r="N22" s="523"/>
      <c r="O22" s="523"/>
      <c r="P22" s="523"/>
      <c r="Q22" s="523"/>
      <c r="R22" s="523"/>
    </row>
    <row r="23" spans="1:18" ht="15" customHeight="1" thickBot="1">
      <c r="A23" s="1543"/>
      <c r="B23" s="1546" t="s">
        <v>329</v>
      </c>
      <c r="C23" s="1547"/>
      <c r="D23" s="546"/>
      <c r="E23" s="540">
        <v>0.03425336386944902</v>
      </c>
      <c r="F23" s="541">
        <v>0.5413191030723906</v>
      </c>
      <c r="G23" s="547">
        <f t="shared" si="0"/>
        <v>0.5755724669418396</v>
      </c>
      <c r="H23" s="528"/>
      <c r="I23" s="535">
        <v>0.00013595209014202313</v>
      </c>
      <c r="J23" s="521"/>
      <c r="K23" s="535">
        <v>0</v>
      </c>
      <c r="L23" s="523"/>
      <c r="M23" s="523"/>
      <c r="N23" s="523"/>
      <c r="O23" s="523"/>
      <c r="P23" s="523"/>
      <c r="Q23" s="523"/>
      <c r="R23" s="523"/>
    </row>
    <row r="24" spans="1:18" ht="14.25" customHeight="1">
      <c r="A24" s="1548" t="s">
        <v>878</v>
      </c>
      <c r="B24" s="1550" t="s">
        <v>65</v>
      </c>
      <c r="C24" s="1551"/>
      <c r="D24" s="548"/>
      <c r="E24" s="549">
        <v>0.1457011379785439</v>
      </c>
      <c r="F24" s="966">
        <v>1.9379218620848797</v>
      </c>
      <c r="G24" s="534">
        <f t="shared" si="0"/>
        <v>2.0836230000634237</v>
      </c>
      <c r="H24" s="528"/>
      <c r="I24" s="537">
        <v>0.002784023976649817</v>
      </c>
      <c r="J24" s="521"/>
      <c r="K24" s="537">
        <v>0.005267432222003154</v>
      </c>
      <c r="L24" s="523"/>
      <c r="M24" s="549">
        <v>0</v>
      </c>
      <c r="N24" s="965">
        <v>0</v>
      </c>
      <c r="O24" s="544">
        <f>SUM(M24:N24)</f>
        <v>0</v>
      </c>
      <c r="P24" s="523"/>
      <c r="Q24" s="529">
        <v>0</v>
      </c>
      <c r="R24" s="523"/>
    </row>
    <row r="25" spans="1:18" ht="14.25" customHeight="1">
      <c r="A25" s="1549"/>
      <c r="B25" s="530" t="s">
        <v>330</v>
      </c>
      <c r="C25" s="531"/>
      <c r="D25" s="546"/>
      <c r="E25" s="550">
        <v>0.09746489664214801</v>
      </c>
      <c r="F25" s="967">
        <v>0.13435964818256071</v>
      </c>
      <c r="G25" s="539">
        <f t="shared" si="0"/>
        <v>0.2318245448247087</v>
      </c>
      <c r="H25" s="528"/>
      <c r="I25" s="532">
        <v>0.619586122293185</v>
      </c>
      <c r="J25" s="521"/>
      <c r="K25" s="532">
        <v>0</v>
      </c>
      <c r="L25" s="523"/>
      <c r="M25" s="550">
        <v>0</v>
      </c>
      <c r="N25" s="962">
        <v>0</v>
      </c>
      <c r="O25" s="539">
        <f>SUM(M25:N25)</f>
        <v>0</v>
      </c>
      <c r="P25" s="523"/>
      <c r="Q25" s="532">
        <v>0</v>
      </c>
      <c r="R25" s="523"/>
    </row>
    <row r="26" spans="1:18" ht="14.25" customHeight="1">
      <c r="A26" s="1549"/>
      <c r="B26" s="530" t="s">
        <v>331</v>
      </c>
      <c r="C26" s="531"/>
      <c r="D26" s="546"/>
      <c r="E26" s="550">
        <v>0</v>
      </c>
      <c r="F26" s="967">
        <v>0</v>
      </c>
      <c r="G26" s="539">
        <f t="shared" si="0"/>
        <v>0</v>
      </c>
      <c r="H26" s="528"/>
      <c r="I26" s="532">
        <v>0</v>
      </c>
      <c r="J26" s="521"/>
      <c r="K26" s="532">
        <v>0</v>
      </c>
      <c r="L26" s="523"/>
      <c r="M26" s="550">
        <v>0</v>
      </c>
      <c r="N26" s="962">
        <v>0</v>
      </c>
      <c r="O26" s="539">
        <f>SUM(M26:N26)</f>
        <v>0</v>
      </c>
      <c r="P26" s="523"/>
      <c r="Q26" s="532">
        <v>0</v>
      </c>
      <c r="R26" s="523"/>
    </row>
    <row r="27" spans="1:18" ht="15" customHeight="1" thickBot="1">
      <c r="A27" s="1549"/>
      <c r="B27" s="1546" t="s">
        <v>329</v>
      </c>
      <c r="C27" s="1547"/>
      <c r="D27" s="546"/>
      <c r="E27" s="963">
        <v>0.21059578286325348</v>
      </c>
      <c r="F27" s="968">
        <v>1.2008979828373454</v>
      </c>
      <c r="G27" s="542">
        <f t="shared" si="0"/>
        <v>1.4114937657005988</v>
      </c>
      <c r="H27" s="528"/>
      <c r="I27" s="543">
        <v>0.0015441425698751693</v>
      </c>
      <c r="J27" s="521"/>
      <c r="K27" s="543">
        <v>0</v>
      </c>
      <c r="L27" s="523"/>
      <c r="M27" s="540">
        <v>0</v>
      </c>
      <c r="N27" s="541">
        <v>0</v>
      </c>
      <c r="O27" s="547">
        <f>SUM(M27:N27)</f>
        <v>0</v>
      </c>
      <c r="P27" s="523"/>
      <c r="Q27" s="535">
        <v>0</v>
      </c>
      <c r="R27" s="523"/>
    </row>
    <row r="28" spans="1:18" ht="15" customHeight="1" thickBot="1">
      <c r="A28" s="1563" t="s">
        <v>332</v>
      </c>
      <c r="B28" s="1564"/>
      <c r="C28" s="551"/>
      <c r="D28" s="546"/>
      <c r="E28" s="554">
        <v>0</v>
      </c>
      <c r="F28" s="969">
        <v>0</v>
      </c>
      <c r="G28" s="552">
        <f>SUM(E28:F28)</f>
        <v>0</v>
      </c>
      <c r="H28" s="528"/>
      <c r="I28" s="553">
        <v>0</v>
      </c>
      <c r="J28" s="521"/>
      <c r="K28" s="553">
        <v>0</v>
      </c>
      <c r="L28" s="523"/>
      <c r="M28" s="554">
        <v>0</v>
      </c>
      <c r="N28" s="969">
        <v>0</v>
      </c>
      <c r="O28" s="552">
        <f>SUM(M28:N28)</f>
        <v>0</v>
      </c>
      <c r="P28" s="523"/>
      <c r="Q28" s="553">
        <v>0</v>
      </c>
      <c r="R28" s="523"/>
    </row>
    <row r="29" spans="1:18" ht="15.75" customHeight="1" thickBot="1">
      <c r="A29" s="1563" t="s">
        <v>350</v>
      </c>
      <c r="B29" s="1565"/>
      <c r="C29" s="1566"/>
      <c r="D29" s="555"/>
      <c r="E29" s="556"/>
      <c r="F29" s="557"/>
      <c r="G29" s="558"/>
      <c r="H29" s="559"/>
      <c r="I29" s="560">
        <v>5.73021926409354</v>
      </c>
      <c r="J29" s="521"/>
      <c r="K29" s="560">
        <v>0</v>
      </c>
      <c r="L29" s="561"/>
      <c r="M29" s="562"/>
      <c r="N29" s="563"/>
      <c r="O29" s="558"/>
      <c r="P29" s="561"/>
      <c r="Q29" s="564"/>
      <c r="R29" s="561"/>
    </row>
    <row r="30" spans="1:18" ht="15.75" customHeight="1" thickBot="1">
      <c r="A30" s="1563" t="s">
        <v>768</v>
      </c>
      <c r="B30" s="1565"/>
      <c r="C30" s="1566"/>
      <c r="D30" s="555"/>
      <c r="E30" s="556"/>
      <c r="F30" s="970">
        <v>0</v>
      </c>
      <c r="G30" s="542">
        <f>SUM(E30:F30)</f>
        <v>0</v>
      </c>
      <c r="H30" s="559"/>
      <c r="I30" s="565"/>
      <c r="J30" s="521"/>
      <c r="K30" s="566"/>
      <c r="L30" s="561"/>
      <c r="M30" s="556"/>
      <c r="N30" s="557"/>
      <c r="O30" s="558"/>
      <c r="P30" s="561"/>
      <c r="Q30" s="567"/>
      <c r="R30" s="561"/>
    </row>
    <row r="31" spans="1:18" ht="15.75" customHeight="1" thickBot="1">
      <c r="A31" s="1563" t="s">
        <v>769</v>
      </c>
      <c r="B31" s="1565"/>
      <c r="C31" s="1566"/>
      <c r="D31" s="555"/>
      <c r="E31" s="556"/>
      <c r="F31" s="970"/>
      <c r="G31" s="552">
        <f>SUM(E31:F31)</f>
        <v>0</v>
      </c>
      <c r="H31" s="559"/>
      <c r="I31" s="565"/>
      <c r="J31" s="521"/>
      <c r="K31" s="566"/>
      <c r="L31" s="561"/>
      <c r="M31" s="556"/>
      <c r="N31" s="557"/>
      <c r="O31" s="558"/>
      <c r="P31" s="561"/>
      <c r="Q31" s="567"/>
      <c r="R31" s="561"/>
    </row>
    <row r="32" spans="1:18" ht="15.75" customHeight="1" thickBot="1">
      <c r="A32" s="1563" t="s">
        <v>527</v>
      </c>
      <c r="B32" s="1565"/>
      <c r="C32" s="1566"/>
      <c r="D32" s="555"/>
      <c r="E32" s="556"/>
      <c r="F32" s="557"/>
      <c r="G32" s="558"/>
      <c r="H32" s="559"/>
      <c r="I32" s="560">
        <v>-2.22315</v>
      </c>
      <c r="J32" s="521"/>
      <c r="K32" s="566"/>
      <c r="L32" s="561"/>
      <c r="M32" s="556"/>
      <c r="N32" s="557"/>
      <c r="O32" s="558"/>
      <c r="P32" s="561"/>
      <c r="Q32" s="567"/>
      <c r="R32" s="561"/>
    </row>
    <row r="33" spans="1:18" ht="15.75" customHeight="1" thickBot="1">
      <c r="A33" s="1563" t="s">
        <v>528</v>
      </c>
      <c r="B33" s="1565"/>
      <c r="C33" s="1566"/>
      <c r="D33" s="555"/>
      <c r="E33" s="556"/>
      <c r="F33" s="971">
        <v>1.198993</v>
      </c>
      <c r="G33" s="552">
        <f>SUM(E33:F33)</f>
        <v>1.198993</v>
      </c>
      <c r="H33" s="559"/>
      <c r="I33" s="566"/>
      <c r="J33" s="521"/>
      <c r="K33" s="566"/>
      <c r="L33" s="561"/>
      <c r="M33" s="556"/>
      <c r="N33" s="557"/>
      <c r="O33" s="558"/>
      <c r="P33" s="561"/>
      <c r="Q33" s="567"/>
      <c r="R33" s="561"/>
    </row>
    <row r="34" spans="1:18" ht="15.75" thickBot="1">
      <c r="A34" s="568" t="s">
        <v>881</v>
      </c>
      <c r="B34" s="569"/>
      <c r="C34" s="570"/>
      <c r="D34" s="571"/>
      <c r="E34" s="572">
        <f>SUM(E11:E33)</f>
        <v>1.662264112103267</v>
      </c>
      <c r="F34" s="572">
        <f>SUM(F11:F33)</f>
        <v>9.844452068880734</v>
      </c>
      <c r="G34" s="572">
        <f>SUM(G11:G33)</f>
        <v>11.506716180984</v>
      </c>
      <c r="H34" s="573"/>
      <c r="I34" s="572">
        <f>SUM(I11:I33)</f>
        <v>27.850824583739605</v>
      </c>
      <c r="J34" s="571"/>
      <c r="K34" s="572">
        <f>SUM(K11:K33)</f>
        <v>0.38629600000000003</v>
      </c>
      <c r="L34" s="574"/>
      <c r="M34" s="572">
        <f>SUM(M11:M31)</f>
        <v>0</v>
      </c>
      <c r="N34" s="572">
        <f>SUM(N11:N31)</f>
        <v>0</v>
      </c>
      <c r="O34" s="572">
        <f>SUM(O11:O31)</f>
        <v>0</v>
      </c>
      <c r="P34" s="574"/>
      <c r="Q34" s="572">
        <f>SUM(Q11:Q31)</f>
        <v>0</v>
      </c>
      <c r="R34" s="574"/>
    </row>
    <row r="35" spans="1:18" ht="15" thickBot="1">
      <c r="A35" s="523"/>
      <c r="B35" s="523"/>
      <c r="C35" s="523"/>
      <c r="D35" s="575"/>
      <c r="E35" s="523"/>
      <c r="F35" s="523"/>
      <c r="G35" s="576"/>
      <c r="H35" s="523"/>
      <c r="I35" s="576"/>
      <c r="J35" s="510"/>
      <c r="K35" s="576"/>
      <c r="L35" s="523"/>
      <c r="M35" s="523"/>
      <c r="N35" s="523"/>
      <c r="O35" s="523"/>
      <c r="P35" s="523"/>
      <c r="Q35" s="523"/>
      <c r="R35" s="523"/>
    </row>
    <row r="36" spans="1:18" ht="16.5" thickBot="1">
      <c r="A36" s="577"/>
      <c r="B36" s="577"/>
      <c r="C36" s="578"/>
      <c r="D36" s="579"/>
      <c r="E36" s="580" t="s">
        <v>494</v>
      </c>
      <c r="F36" s="581"/>
      <c r="G36" s="581"/>
      <c r="H36" s="581"/>
      <c r="I36" s="526" t="s">
        <v>839</v>
      </c>
      <c r="J36" s="571"/>
      <c r="K36" s="522" t="s">
        <v>840</v>
      </c>
      <c r="L36" s="582"/>
      <c r="M36" s="574"/>
      <c r="N36" s="574"/>
      <c r="O36" s="574"/>
      <c r="P36" s="574"/>
      <c r="Q36" s="574"/>
      <c r="R36" s="574"/>
    </row>
    <row r="37" spans="1:18" ht="15.75" thickBot="1">
      <c r="A37" s="574"/>
      <c r="B37" s="582"/>
      <c r="C37" s="582"/>
      <c r="D37" s="582"/>
      <c r="E37" s="583"/>
      <c r="F37" s="581"/>
      <c r="G37" s="581"/>
      <c r="H37" s="584"/>
      <c r="I37" s="525" t="s">
        <v>656</v>
      </c>
      <c r="J37" s="571"/>
      <c r="K37" s="526" t="s">
        <v>656</v>
      </c>
      <c r="L37" s="574"/>
      <c r="M37" s="574"/>
      <c r="N37" s="574"/>
      <c r="O37" s="574"/>
      <c r="P37" s="574"/>
      <c r="Q37" s="574"/>
      <c r="R37" s="574"/>
    </row>
    <row r="38" spans="1:18" ht="14.25">
      <c r="A38" s="523"/>
      <c r="B38" s="575"/>
      <c r="C38" s="575"/>
      <c r="D38" s="575"/>
      <c r="E38" s="585" t="s">
        <v>495</v>
      </c>
      <c r="F38" s="586"/>
      <c r="G38" s="586"/>
      <c r="H38" s="587"/>
      <c r="I38" s="588">
        <v>7.604673496197197</v>
      </c>
      <c r="J38" s="521"/>
      <c r="K38" s="537">
        <v>0.38629600000000003</v>
      </c>
      <c r="L38" s="523"/>
      <c r="M38" s="523"/>
      <c r="N38" s="523"/>
      <c r="O38" s="523"/>
      <c r="P38" s="523"/>
      <c r="Q38" s="523"/>
      <c r="R38" s="523"/>
    </row>
    <row r="39" spans="1:18" ht="15" thickBot="1">
      <c r="A39" s="523"/>
      <c r="B39" s="575"/>
      <c r="C39" s="575"/>
      <c r="D39" s="575"/>
      <c r="E39" s="589" t="s">
        <v>496</v>
      </c>
      <c r="F39" s="590"/>
      <c r="G39" s="590"/>
      <c r="H39" s="591"/>
      <c r="I39" s="592">
        <v>20.246151087542405</v>
      </c>
      <c r="J39" s="521"/>
      <c r="K39" s="543">
        <v>0</v>
      </c>
      <c r="L39" s="523"/>
      <c r="M39" s="523"/>
      <c r="N39" s="523"/>
      <c r="O39" s="523"/>
      <c r="P39" s="523"/>
      <c r="Q39" s="523"/>
      <c r="R39" s="523"/>
    </row>
    <row r="40" spans="1:18" ht="16.5" thickBot="1">
      <c r="A40" s="523"/>
      <c r="B40" s="571"/>
      <c r="C40" s="571"/>
      <c r="D40" s="571"/>
      <c r="E40" s="593" t="s">
        <v>497</v>
      </c>
      <c r="F40" s="594"/>
      <c r="G40" s="594"/>
      <c r="H40" s="595"/>
      <c r="I40" s="552">
        <f>SUM(I38:I39)</f>
        <v>27.850824583739602</v>
      </c>
      <c r="J40" s="521"/>
      <c r="K40" s="552">
        <f>SUM(K38:K39)</f>
        <v>0.38629600000000003</v>
      </c>
      <c r="L40" s="523"/>
      <c r="M40" s="523"/>
      <c r="N40" s="523"/>
      <c r="O40" s="523"/>
      <c r="P40" s="523"/>
      <c r="Q40" s="523"/>
      <c r="R40" s="523"/>
    </row>
    <row r="41" spans="1:18" ht="15" thickBot="1">
      <c r="A41" s="523"/>
      <c r="B41" s="523"/>
      <c r="C41" s="523"/>
      <c r="D41" s="575"/>
      <c r="E41" s="523"/>
      <c r="F41" s="523"/>
      <c r="G41" s="523"/>
      <c r="H41" s="523"/>
      <c r="I41" s="576"/>
      <c r="J41" s="499"/>
      <c r="K41" s="576"/>
      <c r="L41" s="523"/>
      <c r="M41" s="523"/>
      <c r="N41" s="523"/>
      <c r="O41" s="523"/>
      <c r="P41" s="523"/>
      <c r="Q41" s="523"/>
      <c r="R41" s="523"/>
    </row>
    <row r="42" spans="1:18" ht="20.25">
      <c r="A42" s="510"/>
      <c r="B42" s="520"/>
      <c r="C42" s="1557" t="s">
        <v>616</v>
      </c>
      <c r="D42" s="596"/>
      <c r="E42" s="596"/>
      <c r="F42" s="597"/>
      <c r="G42" s="598"/>
      <c r="H42" s="521"/>
      <c r="I42" s="510"/>
      <c r="J42" s="510"/>
      <c r="K42" s="510"/>
      <c r="L42" s="510"/>
      <c r="M42" s="1559" t="s">
        <v>616</v>
      </c>
      <c r="N42" s="1560"/>
      <c r="O42" s="599"/>
      <c r="P42" s="510"/>
      <c r="Q42" s="510"/>
      <c r="R42" s="510"/>
    </row>
    <row r="43" spans="1:18" ht="21" thickBot="1">
      <c r="A43" s="510"/>
      <c r="B43" s="520"/>
      <c r="C43" s="1558"/>
      <c r="D43" s="600"/>
      <c r="E43" s="600"/>
      <c r="F43" s="601"/>
      <c r="G43" s="602" t="s">
        <v>656</v>
      </c>
      <c r="H43" s="521"/>
      <c r="I43" s="510"/>
      <c r="J43" s="510"/>
      <c r="K43" s="510"/>
      <c r="L43" s="510"/>
      <c r="M43" s="1561"/>
      <c r="N43" s="1562"/>
      <c r="O43" s="525" t="s">
        <v>656</v>
      </c>
      <c r="P43" s="510"/>
      <c r="Q43" s="510"/>
      <c r="R43" s="510"/>
    </row>
    <row r="44" spans="1:18" ht="15" thickBot="1">
      <c r="A44" s="510"/>
      <c r="B44" s="603"/>
      <c r="C44" s="604" t="s">
        <v>875</v>
      </c>
      <c r="D44" s="605"/>
      <c r="E44" s="605"/>
      <c r="F44" s="606"/>
      <c r="G44" s="588">
        <v>2.669820307444006</v>
      </c>
      <c r="H44" s="521"/>
      <c r="I44" s="510"/>
      <c r="J44" s="510"/>
      <c r="K44" s="510"/>
      <c r="L44" s="510"/>
      <c r="M44" s="607" t="s">
        <v>878</v>
      </c>
      <c r="N44" s="608"/>
      <c r="O44" s="560">
        <v>0</v>
      </c>
      <c r="P44" s="510"/>
      <c r="Q44" s="510"/>
      <c r="R44" s="510"/>
    </row>
    <row r="45" spans="1:18" ht="14.25">
      <c r="A45" s="510"/>
      <c r="B45" s="603"/>
      <c r="C45" s="609" t="s">
        <v>874</v>
      </c>
      <c r="D45" s="610"/>
      <c r="E45" s="610"/>
      <c r="F45" s="611"/>
      <c r="G45" s="972">
        <v>3.83999569614136</v>
      </c>
      <c r="H45" s="521"/>
      <c r="I45" s="510"/>
      <c r="J45" s="510"/>
      <c r="K45" s="510"/>
      <c r="L45" s="510"/>
      <c r="M45" s="510"/>
      <c r="N45" s="510"/>
      <c r="O45" s="510"/>
      <c r="P45" s="510"/>
      <c r="Q45" s="510"/>
      <c r="R45" s="510"/>
    </row>
    <row r="46" spans="1:18" ht="14.25">
      <c r="A46" s="510"/>
      <c r="B46" s="603"/>
      <c r="C46" s="609" t="s">
        <v>880</v>
      </c>
      <c r="D46" s="610"/>
      <c r="E46" s="610"/>
      <c r="F46" s="611"/>
      <c r="G46" s="972">
        <v>0.6021943413513217</v>
      </c>
      <c r="H46" s="521"/>
      <c r="I46" s="510"/>
      <c r="J46" s="510"/>
      <c r="K46" s="510"/>
      <c r="L46" s="510"/>
      <c r="M46" s="510"/>
      <c r="N46" s="510"/>
      <c r="O46" s="510"/>
      <c r="P46" s="510"/>
      <c r="Q46" s="510"/>
      <c r="R46" s="510"/>
    </row>
    <row r="47" spans="1:18" ht="15" thickBot="1">
      <c r="A47" s="510"/>
      <c r="B47" s="603"/>
      <c r="C47" s="612" t="s">
        <v>878</v>
      </c>
      <c r="D47" s="613"/>
      <c r="E47" s="613"/>
      <c r="F47" s="614"/>
      <c r="G47" s="592">
        <v>0.20885871506331286</v>
      </c>
      <c r="H47" s="521"/>
      <c r="I47" s="510"/>
      <c r="J47" s="510"/>
      <c r="K47" s="510"/>
      <c r="L47" s="510"/>
      <c r="M47" s="510"/>
      <c r="N47" s="510"/>
      <c r="O47" s="510"/>
      <c r="P47" s="510"/>
      <c r="Q47" s="510"/>
      <c r="R47" s="510"/>
    </row>
    <row r="48" spans="1:18" ht="15.75" thickBot="1">
      <c r="A48" s="510"/>
      <c r="B48" s="615"/>
      <c r="C48" s="616" t="s">
        <v>539</v>
      </c>
      <c r="D48" s="617"/>
      <c r="E48" s="617"/>
      <c r="F48" s="618"/>
      <c r="G48" s="619">
        <f>SUM(G44:G47)</f>
        <v>7.32086906</v>
      </c>
      <c r="H48" s="521"/>
      <c r="I48" s="510"/>
      <c r="J48" s="510"/>
      <c r="K48" s="510"/>
      <c r="L48" s="510"/>
      <c r="M48" s="510"/>
      <c r="N48" s="510"/>
      <c r="O48" s="510"/>
      <c r="P48" s="510"/>
      <c r="Q48" s="510"/>
      <c r="R48" s="510"/>
    </row>
    <row r="49" spans="1:18" ht="15">
      <c r="A49" s="620"/>
      <c r="B49" s="620"/>
      <c r="C49" s="620"/>
      <c r="D49" s="620"/>
      <c r="E49" s="620"/>
      <c r="F49" s="620"/>
      <c r="G49" s="576"/>
      <c r="H49" s="621"/>
      <c r="I49" s="622"/>
      <c r="J49" s="622"/>
      <c r="K49" s="622"/>
      <c r="L49" s="623"/>
      <c r="M49" s="523"/>
      <c r="N49" s="523"/>
      <c r="O49" s="523"/>
      <c r="P49" s="523"/>
      <c r="Q49" s="523"/>
      <c r="R49" s="523"/>
    </row>
  </sheetData>
  <sheetProtection/>
  <mergeCells count="38">
    <mergeCell ref="C42:C43"/>
    <mergeCell ref="M42:N43"/>
    <mergeCell ref="A28:B28"/>
    <mergeCell ref="A29:C29"/>
    <mergeCell ref="A31:C31"/>
    <mergeCell ref="A30:C30"/>
    <mergeCell ref="A32:C32"/>
    <mergeCell ref="A33:C33"/>
    <mergeCell ref="A24:A27"/>
    <mergeCell ref="B24:C24"/>
    <mergeCell ref="B27:C27"/>
    <mergeCell ref="A17:A19"/>
    <mergeCell ref="B17:C17"/>
    <mergeCell ref="B18:C18"/>
    <mergeCell ref="B19:C19"/>
    <mergeCell ref="B13:C13"/>
    <mergeCell ref="B14:C14"/>
    <mergeCell ref="E14:E16"/>
    <mergeCell ref="F14:F16"/>
    <mergeCell ref="A20:A23"/>
    <mergeCell ref="B20:C20"/>
    <mergeCell ref="B23:C23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A9:C10"/>
    <mergeCell ref="M6:Q6"/>
    <mergeCell ref="E7:G7"/>
    <mergeCell ref="I7:K7"/>
    <mergeCell ref="M7:O8"/>
    <mergeCell ref="Q7:Q8"/>
  </mergeCells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862" t="s">
        <v>851</v>
      </c>
      <c r="E1" s="857" t="s">
        <v>55</v>
      </c>
    </row>
    <row r="2" ht="12.75">
      <c r="A2" s="862"/>
    </row>
    <row r="3" ht="12.75">
      <c r="A3" s="862" t="s">
        <v>529</v>
      </c>
    </row>
    <row r="5" spans="1:14" ht="20.25">
      <c r="A5" s="516" t="s">
        <v>720</v>
      </c>
      <c r="B5" s="517"/>
      <c r="C5" s="517"/>
      <c r="D5" s="518"/>
      <c r="E5" s="517"/>
      <c r="F5" s="517"/>
      <c r="G5" s="517"/>
      <c r="H5" s="517"/>
      <c r="I5" s="517"/>
      <c r="J5" s="517"/>
      <c r="K5" s="517"/>
      <c r="L5" s="517"/>
      <c r="M5" s="631"/>
      <c r="N5" s="631"/>
    </row>
    <row r="6" spans="1:14" ht="21" thickBot="1">
      <c r="A6" s="516"/>
      <c r="B6" s="517"/>
      <c r="C6" s="517"/>
      <c r="D6" s="518"/>
      <c r="E6" s="517"/>
      <c r="F6" s="517"/>
      <c r="G6" s="517"/>
      <c r="H6" s="517"/>
      <c r="I6" s="517"/>
      <c r="J6" s="517"/>
      <c r="K6" s="517"/>
      <c r="L6" s="517"/>
      <c r="M6" s="631"/>
      <c r="N6" s="631"/>
    </row>
    <row r="7" spans="1:14" ht="18.75" thickBot="1">
      <c r="A7" s="523"/>
      <c r="B7" s="523"/>
      <c r="C7" s="632" t="s">
        <v>900</v>
      </c>
      <c r="D7" s="633"/>
      <c r="E7" s="633"/>
      <c r="F7" s="633"/>
      <c r="G7" s="633"/>
      <c r="H7" s="633"/>
      <c r="I7" s="633"/>
      <c r="J7" s="633"/>
      <c r="K7" s="633"/>
      <c r="L7" s="634"/>
      <c r="M7" s="523"/>
      <c r="N7" s="523"/>
    </row>
    <row r="8" spans="1:14" ht="98.25" customHeight="1" thickBot="1">
      <c r="A8" s="523"/>
      <c r="B8" s="523"/>
      <c r="C8" s="635" t="s">
        <v>901</v>
      </c>
      <c r="D8" s="636"/>
      <c r="E8" s="637" t="s">
        <v>902</v>
      </c>
      <c r="F8" s="638" t="s">
        <v>903</v>
      </c>
      <c r="G8" s="638" t="s">
        <v>904</v>
      </c>
      <c r="H8" s="639" t="s">
        <v>658</v>
      </c>
      <c r="I8" s="638" t="s">
        <v>659</v>
      </c>
      <c r="J8" s="640" t="s">
        <v>850</v>
      </c>
      <c r="K8" s="641" t="s">
        <v>552</v>
      </c>
      <c r="L8" s="642" t="s">
        <v>881</v>
      </c>
      <c r="M8" s="523"/>
      <c r="N8" s="523"/>
    </row>
    <row r="9" spans="1:14" ht="15.75" thickBot="1">
      <c r="A9" s="523"/>
      <c r="B9" s="523"/>
      <c r="C9" s="643"/>
      <c r="D9" s="644"/>
      <c r="E9" s="645" t="s">
        <v>656</v>
      </c>
      <c r="F9" s="646" t="s">
        <v>656</v>
      </c>
      <c r="G9" s="646" t="s">
        <v>656</v>
      </c>
      <c r="H9" s="645" t="s">
        <v>656</v>
      </c>
      <c r="I9" s="646" t="s">
        <v>656</v>
      </c>
      <c r="J9" s="646" t="s">
        <v>656</v>
      </c>
      <c r="K9" s="647" t="s">
        <v>656</v>
      </c>
      <c r="L9" s="648" t="s">
        <v>656</v>
      </c>
      <c r="M9" s="523"/>
      <c r="N9" s="523"/>
    </row>
    <row r="10" spans="1:14" ht="15">
      <c r="A10" s="523"/>
      <c r="B10" s="523"/>
      <c r="C10" s="649" t="s">
        <v>417</v>
      </c>
      <c r="D10" s="636"/>
      <c r="E10" s="650"/>
      <c r="F10" s="651"/>
      <c r="G10" s="651"/>
      <c r="H10" s="650"/>
      <c r="I10" s="651"/>
      <c r="J10" s="652"/>
      <c r="K10" s="652"/>
      <c r="L10" s="653">
        <f aca="true" t="shared" si="0" ref="L10:L20">SUM(E10:K10)</f>
        <v>0</v>
      </c>
      <c r="M10" s="523"/>
      <c r="N10" s="523"/>
    </row>
    <row r="11" spans="1:14" ht="14.25">
      <c r="A11" s="523"/>
      <c r="B11" s="523"/>
      <c r="C11" s="1574" t="s">
        <v>418</v>
      </c>
      <c r="D11" s="1575"/>
      <c r="E11" s="940">
        <v>49.1</v>
      </c>
      <c r="F11" s="940">
        <v>0</v>
      </c>
      <c r="G11" s="940">
        <v>0</v>
      </c>
      <c r="H11" s="940">
        <v>10</v>
      </c>
      <c r="I11" s="654"/>
      <c r="J11" s="655"/>
      <c r="K11" s="656"/>
      <c r="L11" s="657">
        <f t="shared" si="0"/>
        <v>59.1</v>
      </c>
      <c r="M11" s="523"/>
      <c r="N11" s="523"/>
    </row>
    <row r="12" spans="1:14" ht="14.25">
      <c r="A12" s="523"/>
      <c r="B12" s="523"/>
      <c r="C12" s="1574" t="s">
        <v>419</v>
      </c>
      <c r="D12" s="1575"/>
      <c r="E12" s="940">
        <v>24.91</v>
      </c>
      <c r="F12" s="940">
        <v>0</v>
      </c>
      <c r="G12" s="940">
        <v>0</v>
      </c>
      <c r="H12" s="940">
        <v>7.25</v>
      </c>
      <c r="I12" s="654"/>
      <c r="J12" s="655"/>
      <c r="K12" s="656"/>
      <c r="L12" s="657">
        <f t="shared" si="0"/>
        <v>32.16</v>
      </c>
      <c r="M12" s="523"/>
      <c r="N12" s="523"/>
    </row>
    <row r="13" spans="1:14" ht="14.25">
      <c r="A13" s="523"/>
      <c r="B13" s="523"/>
      <c r="C13" s="1574" t="s">
        <v>568</v>
      </c>
      <c r="D13" s="1575"/>
      <c r="E13" s="940">
        <v>0.44</v>
      </c>
      <c r="F13" s="940">
        <v>0</v>
      </c>
      <c r="G13" s="940">
        <v>0</v>
      </c>
      <c r="H13" s="940">
        <v>0.2</v>
      </c>
      <c r="I13" s="654"/>
      <c r="J13" s="655"/>
      <c r="K13" s="656"/>
      <c r="L13" s="657">
        <f t="shared" si="0"/>
        <v>0.64</v>
      </c>
      <c r="M13" s="523"/>
      <c r="N13" s="523"/>
    </row>
    <row r="14" spans="1:14" ht="14.25">
      <c r="A14" s="523"/>
      <c r="B14" s="523"/>
      <c r="C14" s="1574" t="s">
        <v>693</v>
      </c>
      <c r="D14" s="1575"/>
      <c r="E14" s="940">
        <v>0</v>
      </c>
      <c r="F14" s="940">
        <v>0</v>
      </c>
      <c r="G14" s="940">
        <v>0</v>
      </c>
      <c r="H14" s="940">
        <v>0</v>
      </c>
      <c r="I14" s="654"/>
      <c r="J14" s="655"/>
      <c r="K14" s="656"/>
      <c r="L14" s="657">
        <f t="shared" si="0"/>
        <v>0</v>
      </c>
      <c r="M14" s="523"/>
      <c r="N14" s="523"/>
    </row>
    <row r="15" spans="1:14" ht="15">
      <c r="A15" s="523"/>
      <c r="B15" s="523"/>
      <c r="C15" s="658" t="s">
        <v>694</v>
      </c>
      <c r="D15" s="659"/>
      <c r="E15" s="660"/>
      <c r="F15" s="661"/>
      <c r="G15" s="661"/>
      <c r="H15" s="660"/>
      <c r="I15" s="654"/>
      <c r="J15" s="655"/>
      <c r="K15" s="656"/>
      <c r="L15" s="662">
        <f t="shared" si="0"/>
        <v>0</v>
      </c>
      <c r="M15" s="523"/>
      <c r="N15" s="523"/>
    </row>
    <row r="16" spans="1:14" ht="14.25">
      <c r="A16" s="523"/>
      <c r="B16" s="523"/>
      <c r="C16" s="663" t="s">
        <v>695</v>
      </c>
      <c r="D16" s="664"/>
      <c r="E16" s="665"/>
      <c r="F16" s="654"/>
      <c r="G16" s="654"/>
      <c r="H16" s="654"/>
      <c r="I16" s="940">
        <v>1.3</v>
      </c>
      <c r="J16" s="940">
        <v>0</v>
      </c>
      <c r="K16" s="656"/>
      <c r="L16" s="657">
        <f t="shared" si="0"/>
        <v>1.3</v>
      </c>
      <c r="M16" s="523"/>
      <c r="N16" s="523"/>
    </row>
    <row r="17" spans="1:14" ht="14.25">
      <c r="A17" s="523"/>
      <c r="B17" s="523"/>
      <c r="C17" s="663" t="s">
        <v>566</v>
      </c>
      <c r="D17" s="664"/>
      <c r="E17" s="665"/>
      <c r="F17" s="654"/>
      <c r="G17" s="654"/>
      <c r="H17" s="654"/>
      <c r="I17" s="940">
        <v>3.9</v>
      </c>
      <c r="J17" s="940">
        <v>0.8</v>
      </c>
      <c r="K17" s="656"/>
      <c r="L17" s="657">
        <f t="shared" si="0"/>
        <v>4.7</v>
      </c>
      <c r="M17" s="523"/>
      <c r="N17" s="523"/>
    </row>
    <row r="18" spans="1:14" ht="14.25">
      <c r="A18" s="523"/>
      <c r="B18" s="523"/>
      <c r="C18" s="663" t="s">
        <v>567</v>
      </c>
      <c r="D18" s="664"/>
      <c r="E18" s="665"/>
      <c r="F18" s="654"/>
      <c r="G18" s="654"/>
      <c r="H18" s="654"/>
      <c r="I18" s="940">
        <v>3.217375066782165</v>
      </c>
      <c r="J18" s="940">
        <v>0.8283584262799032</v>
      </c>
      <c r="K18" s="656"/>
      <c r="L18" s="657">
        <f t="shared" si="0"/>
        <v>4.045733493062068</v>
      </c>
      <c r="M18" s="523"/>
      <c r="N18" s="523"/>
    </row>
    <row r="19" spans="1:14" ht="14.25">
      <c r="A19" s="523"/>
      <c r="B19" s="523"/>
      <c r="C19" s="663" t="s">
        <v>553</v>
      </c>
      <c r="D19" s="664"/>
      <c r="E19" s="665"/>
      <c r="F19" s="654"/>
      <c r="G19" s="654"/>
      <c r="H19" s="654"/>
      <c r="I19" s="940">
        <v>24.1</v>
      </c>
      <c r="J19" s="940">
        <v>2.14</v>
      </c>
      <c r="K19" s="656"/>
      <c r="L19" s="657">
        <f t="shared" si="0"/>
        <v>26.240000000000002</v>
      </c>
      <c r="M19" s="523"/>
      <c r="N19" s="523"/>
    </row>
    <row r="20" spans="1:14" ht="15">
      <c r="A20" s="523"/>
      <c r="B20" s="523"/>
      <c r="C20" s="658" t="s">
        <v>552</v>
      </c>
      <c r="D20" s="666"/>
      <c r="E20" s="667"/>
      <c r="F20" s="668"/>
      <c r="G20" s="668"/>
      <c r="H20" s="668"/>
      <c r="I20" s="668"/>
      <c r="J20" s="656"/>
      <c r="K20" s="940">
        <v>0</v>
      </c>
      <c r="L20" s="657">
        <f t="shared" si="0"/>
        <v>0</v>
      </c>
      <c r="M20" s="523"/>
      <c r="N20" s="523"/>
    </row>
    <row r="21" spans="1:14" ht="15">
      <c r="A21" s="523"/>
      <c r="B21" s="523"/>
      <c r="C21" s="669" t="s">
        <v>554</v>
      </c>
      <c r="D21" s="670"/>
      <c r="E21" s="671">
        <f>SUM(E11:E20)</f>
        <v>74.45</v>
      </c>
      <c r="F21" s="671">
        <f aca="true" t="shared" si="1" ref="F21:L21">SUM(F11:F20)</f>
        <v>0</v>
      </c>
      <c r="G21" s="671">
        <f t="shared" si="1"/>
        <v>0</v>
      </c>
      <c r="H21" s="671">
        <f t="shared" si="1"/>
        <v>17.45</v>
      </c>
      <c r="I21" s="671">
        <f t="shared" si="1"/>
        <v>32.517375066782165</v>
      </c>
      <c r="J21" s="671">
        <f t="shared" si="1"/>
        <v>3.7683584262799035</v>
      </c>
      <c r="K21" s="672">
        <f t="shared" si="1"/>
        <v>0</v>
      </c>
      <c r="L21" s="673">
        <f t="shared" si="1"/>
        <v>128.18573349306206</v>
      </c>
      <c r="M21" s="674"/>
      <c r="N21" s="523"/>
    </row>
    <row r="22" spans="1:14" ht="15">
      <c r="A22" s="523"/>
      <c r="B22" s="523"/>
      <c r="C22" s="675" t="s">
        <v>555</v>
      </c>
      <c r="D22" s="676"/>
      <c r="E22" s="940">
        <v>0</v>
      </c>
      <c r="F22" s="654"/>
      <c r="G22" s="940">
        <v>0</v>
      </c>
      <c r="H22" s="940">
        <v>0</v>
      </c>
      <c r="I22" s="940">
        <v>0</v>
      </c>
      <c r="J22" s="940">
        <v>0</v>
      </c>
      <c r="K22" s="940">
        <v>0</v>
      </c>
      <c r="L22" s="657">
        <f>SUM(E22:K22)</f>
        <v>0</v>
      </c>
      <c r="M22" s="674"/>
      <c r="N22" s="523"/>
    </row>
    <row r="23" spans="1:14" ht="15">
      <c r="A23" s="523"/>
      <c r="B23" s="523"/>
      <c r="C23" s="669" t="s">
        <v>422</v>
      </c>
      <c r="D23" s="670"/>
      <c r="E23" s="671">
        <f aca="true" t="shared" si="2" ref="E23:K23">SUM(E21:E22)</f>
        <v>74.45</v>
      </c>
      <c r="F23" s="677">
        <f t="shared" si="2"/>
        <v>0</v>
      </c>
      <c r="G23" s="677">
        <f t="shared" si="2"/>
        <v>0</v>
      </c>
      <c r="H23" s="677">
        <f t="shared" si="2"/>
        <v>17.45</v>
      </c>
      <c r="I23" s="677">
        <f t="shared" si="2"/>
        <v>32.517375066782165</v>
      </c>
      <c r="J23" s="677">
        <f t="shared" si="2"/>
        <v>3.7683584262799035</v>
      </c>
      <c r="K23" s="678">
        <f t="shared" si="2"/>
        <v>0</v>
      </c>
      <c r="L23" s="673">
        <f>SUM(E23:K23)</f>
        <v>128.1857334930621</v>
      </c>
      <c r="M23" s="679"/>
      <c r="N23" s="523"/>
    </row>
    <row r="24" spans="1:14" ht="15.75" thickBot="1">
      <c r="A24" s="523"/>
      <c r="B24" s="523"/>
      <c r="C24" s="680" t="s">
        <v>423</v>
      </c>
      <c r="D24" s="681"/>
      <c r="E24" s="940">
        <v>-81.8</v>
      </c>
      <c r="F24" s="940">
        <v>0</v>
      </c>
      <c r="G24" s="940">
        <v>0</v>
      </c>
      <c r="H24" s="682"/>
      <c r="I24" s="683"/>
      <c r="J24" s="683"/>
      <c r="K24" s="940">
        <v>0</v>
      </c>
      <c r="L24" s="684">
        <f>SUM(E24:K24)</f>
        <v>-81.8</v>
      </c>
      <c r="M24" s="685"/>
      <c r="N24" s="523"/>
    </row>
    <row r="25" spans="1:14" ht="15.75" thickBot="1">
      <c r="A25" s="523"/>
      <c r="B25" s="523"/>
      <c r="C25" s="686" t="s">
        <v>424</v>
      </c>
      <c r="D25" s="687"/>
      <c r="E25" s="688">
        <f aca="true" t="shared" si="3" ref="E25:K25">SUM(E23:E24)</f>
        <v>-7.349999999999994</v>
      </c>
      <c r="F25" s="689">
        <f t="shared" si="3"/>
        <v>0</v>
      </c>
      <c r="G25" s="689">
        <f t="shared" si="3"/>
        <v>0</v>
      </c>
      <c r="H25" s="689">
        <f t="shared" si="3"/>
        <v>17.45</v>
      </c>
      <c r="I25" s="689">
        <f t="shared" si="3"/>
        <v>32.517375066782165</v>
      </c>
      <c r="J25" s="689">
        <f t="shared" si="3"/>
        <v>3.7683584262799035</v>
      </c>
      <c r="K25" s="690">
        <f t="shared" si="3"/>
        <v>0</v>
      </c>
      <c r="L25" s="691">
        <f>SUM(E25:K25)</f>
        <v>46.38573349306208</v>
      </c>
      <c r="M25" s="679"/>
      <c r="N25" s="523"/>
    </row>
    <row r="26" spans="1:14" ht="15.75" thickBot="1">
      <c r="A26" s="523"/>
      <c r="B26" s="523"/>
      <c r="C26" s="692"/>
      <c r="D26" s="692"/>
      <c r="E26" s="693"/>
      <c r="F26" s="693"/>
      <c r="G26" s="622"/>
      <c r="H26" s="694"/>
      <c r="I26" s="523"/>
      <c r="J26" s="523"/>
      <c r="K26" s="523"/>
      <c r="L26" s="523"/>
      <c r="M26" s="523"/>
      <c r="N26" s="523"/>
    </row>
    <row r="27" spans="1:14" ht="18.75" thickBot="1">
      <c r="A27" s="523"/>
      <c r="B27" s="523"/>
      <c r="C27" s="695" t="s">
        <v>698</v>
      </c>
      <c r="D27" s="696"/>
      <c r="E27" s="697"/>
      <c r="F27" s="697"/>
      <c r="G27" s="698"/>
      <c r="H27" s="523"/>
      <c r="I27" s="523"/>
      <c r="J27" s="523"/>
      <c r="K27" s="523"/>
      <c r="L27" s="574"/>
      <c r="M27" s="523"/>
      <c r="N27" s="523"/>
    </row>
    <row r="28" spans="1:14" ht="15.75" customHeight="1" thickBot="1">
      <c r="A28" s="523"/>
      <c r="B28" s="523"/>
      <c r="C28" s="649"/>
      <c r="D28" s="699"/>
      <c r="E28" s="1570" t="s">
        <v>520</v>
      </c>
      <c r="F28" s="1571"/>
      <c r="G28" s="700"/>
      <c r="H28" s="523"/>
      <c r="I28" s="523"/>
      <c r="J28" s="523"/>
      <c r="K28" s="523"/>
      <c r="L28" s="574"/>
      <c r="M28" s="523"/>
      <c r="N28" s="523"/>
    </row>
    <row r="29" spans="1:14" ht="30.75" thickBot="1">
      <c r="A29" s="523"/>
      <c r="B29" s="523"/>
      <c r="C29" s="701" t="s">
        <v>901</v>
      </c>
      <c r="D29" s="702"/>
      <c r="E29" s="703" t="s">
        <v>692</v>
      </c>
      <c r="F29" s="703" t="s">
        <v>712</v>
      </c>
      <c r="G29" s="704" t="s">
        <v>713</v>
      </c>
      <c r="H29" s="523"/>
      <c r="I29" s="523"/>
      <c r="J29" s="523"/>
      <c r="K29" s="523"/>
      <c r="L29" s="574"/>
      <c r="M29" s="523"/>
      <c r="N29" s="523"/>
    </row>
    <row r="30" spans="1:14" ht="15.75" thickBot="1">
      <c r="A30" s="523"/>
      <c r="B30" s="523"/>
      <c r="C30" s="705"/>
      <c r="D30" s="702"/>
      <c r="E30" s="526" t="s">
        <v>656</v>
      </c>
      <c r="F30" s="526" t="s">
        <v>656</v>
      </c>
      <c r="G30" s="526" t="s">
        <v>656</v>
      </c>
      <c r="H30" s="523"/>
      <c r="I30" s="523"/>
      <c r="J30" s="523"/>
      <c r="K30" s="523"/>
      <c r="L30" s="574"/>
      <c r="M30" s="523"/>
      <c r="N30" s="523"/>
    </row>
    <row r="31" spans="1:14" ht="15">
      <c r="A31" s="523"/>
      <c r="B31" s="523"/>
      <c r="C31" s="1572" t="s">
        <v>714</v>
      </c>
      <c r="D31" s="706" t="s">
        <v>715</v>
      </c>
      <c r="E31" s="940">
        <v>1.121312401689691</v>
      </c>
      <c r="F31" s="941">
        <v>0.01017123450895029</v>
      </c>
      <c r="G31" s="708">
        <f aca="true" t="shared" si="4" ref="G31:G58">SUM(E31:F31)</f>
        <v>1.1314836361986411</v>
      </c>
      <c r="H31" s="523"/>
      <c r="I31" s="523"/>
      <c r="J31" s="523"/>
      <c r="K31" s="523"/>
      <c r="L31" s="574"/>
      <c r="M31" s="523"/>
      <c r="N31" s="523"/>
    </row>
    <row r="32" spans="1:14" ht="15.75" thickBot="1">
      <c r="A32" s="523"/>
      <c r="B32" s="523"/>
      <c r="C32" s="1573"/>
      <c r="D32" s="709" t="s">
        <v>716</v>
      </c>
      <c r="E32" s="900">
        <v>3.5</v>
      </c>
      <c r="F32" s="900">
        <v>0.1</v>
      </c>
      <c r="G32" s="711">
        <f t="shared" si="4"/>
        <v>3.6</v>
      </c>
      <c r="H32" s="523"/>
      <c r="I32" s="523"/>
      <c r="J32" s="523"/>
      <c r="K32" s="523"/>
      <c r="L32" s="574"/>
      <c r="M32" s="523"/>
      <c r="N32" s="523"/>
    </row>
    <row r="33" spans="1:14" ht="15">
      <c r="A33" s="523"/>
      <c r="B33" s="523"/>
      <c r="C33" s="1572" t="s">
        <v>599</v>
      </c>
      <c r="D33" s="706" t="s">
        <v>715</v>
      </c>
      <c r="E33" s="941">
        <v>0</v>
      </c>
      <c r="F33" s="941">
        <v>0</v>
      </c>
      <c r="G33" s="708">
        <f t="shared" si="4"/>
        <v>0</v>
      </c>
      <c r="H33" s="523"/>
      <c r="I33" s="523"/>
      <c r="J33" s="523"/>
      <c r="K33" s="523"/>
      <c r="L33" s="574"/>
      <c r="M33" s="523"/>
      <c r="N33" s="523"/>
    </row>
    <row r="34" spans="1:14" ht="15.75" thickBot="1">
      <c r="A34" s="523"/>
      <c r="B34" s="523"/>
      <c r="C34" s="1573"/>
      <c r="D34" s="709" t="s">
        <v>716</v>
      </c>
      <c r="E34" s="900">
        <v>0</v>
      </c>
      <c r="F34" s="900">
        <v>0</v>
      </c>
      <c r="G34" s="711">
        <f t="shared" si="4"/>
        <v>0</v>
      </c>
      <c r="H34" s="523"/>
      <c r="I34" s="523"/>
      <c r="J34" s="523"/>
      <c r="K34" s="523"/>
      <c r="L34" s="574"/>
      <c r="M34" s="523"/>
      <c r="N34" s="523"/>
    </row>
    <row r="35" spans="1:14" ht="15">
      <c r="A35" s="523"/>
      <c r="B35" s="523"/>
      <c r="C35" s="1567" t="s">
        <v>695</v>
      </c>
      <c r="D35" s="706" t="s">
        <v>62</v>
      </c>
      <c r="E35" s="941">
        <v>0.831689334445783</v>
      </c>
      <c r="F35" s="941">
        <v>0.007960997899979142</v>
      </c>
      <c r="G35" s="708">
        <f t="shared" si="4"/>
        <v>0.8396503323457621</v>
      </c>
      <c r="H35" s="523"/>
      <c r="I35" s="523"/>
      <c r="J35" s="523"/>
      <c r="K35" s="523"/>
      <c r="L35" s="574"/>
      <c r="M35" s="523"/>
      <c r="N35" s="523"/>
    </row>
    <row r="36" spans="1:14" ht="15">
      <c r="A36" s="523"/>
      <c r="B36" s="523"/>
      <c r="C36" s="1568"/>
      <c r="D36" s="712" t="s">
        <v>63</v>
      </c>
      <c r="E36" s="707">
        <v>3.9067448152387647</v>
      </c>
      <c r="F36" s="707">
        <v>0.10147681851144906</v>
      </c>
      <c r="G36" s="657">
        <f t="shared" si="4"/>
        <v>4.008221633750214</v>
      </c>
      <c r="H36" s="523"/>
      <c r="I36" s="523"/>
      <c r="J36" s="523"/>
      <c r="K36" s="523"/>
      <c r="L36" s="574"/>
      <c r="M36" s="523"/>
      <c r="N36" s="523"/>
    </row>
    <row r="37" spans="1:14" ht="15.75" thickBot="1">
      <c r="A37" s="523"/>
      <c r="B37" s="523"/>
      <c r="C37" s="1569"/>
      <c r="D37" s="713" t="s">
        <v>64</v>
      </c>
      <c r="E37" s="710">
        <v>0.44802067462397693</v>
      </c>
      <c r="F37" s="710">
        <v>0.8448052869692545</v>
      </c>
      <c r="G37" s="711">
        <f t="shared" si="4"/>
        <v>1.2928259615932314</v>
      </c>
      <c r="H37" s="523"/>
      <c r="I37" s="523"/>
      <c r="J37" s="523"/>
      <c r="K37" s="523"/>
      <c r="L37" s="574"/>
      <c r="M37" s="523"/>
      <c r="N37" s="523"/>
    </row>
    <row r="38" spans="1:14" ht="15">
      <c r="A38" s="523"/>
      <c r="B38" s="523"/>
      <c r="C38" s="1567" t="s">
        <v>874</v>
      </c>
      <c r="D38" s="706" t="s">
        <v>65</v>
      </c>
      <c r="E38" s="938">
        <v>2.8</v>
      </c>
      <c r="F38" s="938">
        <v>0.1</v>
      </c>
      <c r="G38" s="708">
        <f t="shared" si="4"/>
        <v>2.9</v>
      </c>
      <c r="H38" s="523"/>
      <c r="I38" s="523"/>
      <c r="J38" s="523"/>
      <c r="K38" s="523"/>
      <c r="L38" s="574"/>
      <c r="M38" s="523"/>
      <c r="N38" s="523"/>
    </row>
    <row r="39" spans="1:14" ht="15">
      <c r="A39" s="523"/>
      <c r="B39" s="523"/>
      <c r="C39" s="1568"/>
      <c r="D39" s="712" t="s">
        <v>618</v>
      </c>
      <c r="E39" s="707">
        <v>3.1075738096423557</v>
      </c>
      <c r="F39" s="707">
        <v>0.020378510399683657</v>
      </c>
      <c r="G39" s="657">
        <f t="shared" si="4"/>
        <v>3.1279523200420396</v>
      </c>
      <c r="H39" s="523"/>
      <c r="I39" s="523"/>
      <c r="J39" s="523"/>
      <c r="K39" s="523"/>
      <c r="L39" s="574"/>
      <c r="M39" s="523"/>
      <c r="N39" s="523"/>
    </row>
    <row r="40" spans="1:14" ht="15">
      <c r="A40" s="523"/>
      <c r="B40" s="523"/>
      <c r="C40" s="1568"/>
      <c r="D40" s="714" t="s">
        <v>619</v>
      </c>
      <c r="E40" s="707">
        <v>0</v>
      </c>
      <c r="F40" s="707">
        <v>0</v>
      </c>
      <c r="G40" s="657">
        <f t="shared" si="4"/>
        <v>0</v>
      </c>
      <c r="H40" s="523"/>
      <c r="I40" s="523"/>
      <c r="J40" s="523"/>
      <c r="K40" s="523"/>
      <c r="L40" s="574"/>
      <c r="M40" s="523"/>
      <c r="N40" s="523"/>
    </row>
    <row r="41" spans="1:14" ht="15">
      <c r="A41" s="523"/>
      <c r="B41" s="523"/>
      <c r="C41" s="1568"/>
      <c r="D41" s="714" t="s">
        <v>64</v>
      </c>
      <c r="E41" s="707">
        <v>5.612711767166652</v>
      </c>
      <c r="F41" s="707">
        <v>1.0011134157441124</v>
      </c>
      <c r="G41" s="657">
        <f t="shared" si="4"/>
        <v>6.613825182910764</v>
      </c>
      <c r="H41" s="523"/>
      <c r="I41" s="523"/>
      <c r="J41" s="523"/>
      <c r="K41" s="523"/>
      <c r="L41" s="574"/>
      <c r="M41" s="523"/>
      <c r="N41" s="523"/>
    </row>
    <row r="42" spans="1:14" ht="15">
      <c r="A42" s="523"/>
      <c r="B42" s="523"/>
      <c r="C42" s="1568"/>
      <c r="D42" s="712" t="s">
        <v>594</v>
      </c>
      <c r="E42" s="942">
        <v>0.5310343750747116</v>
      </c>
      <c r="F42" s="942">
        <v>0.7051211130590198</v>
      </c>
      <c r="G42" s="657">
        <f t="shared" si="4"/>
        <v>1.2361554881337313</v>
      </c>
      <c r="H42" s="523"/>
      <c r="I42" s="523"/>
      <c r="J42" s="523"/>
      <c r="K42" s="523"/>
      <c r="L42" s="574"/>
      <c r="M42" s="523"/>
      <c r="N42" s="523"/>
    </row>
    <row r="43" spans="1:14" ht="15.75" thickBot="1">
      <c r="A43" s="523"/>
      <c r="B43" s="523"/>
      <c r="C43" s="1569"/>
      <c r="D43" s="709" t="s">
        <v>595</v>
      </c>
      <c r="E43" s="942">
        <v>1.9</v>
      </c>
      <c r="F43" s="942">
        <v>0.4</v>
      </c>
      <c r="G43" s="711">
        <f t="shared" si="4"/>
        <v>2.3</v>
      </c>
      <c r="H43" s="523"/>
      <c r="I43" s="523"/>
      <c r="J43" s="523"/>
      <c r="K43" s="523"/>
      <c r="L43" s="574"/>
      <c r="M43" s="523"/>
      <c r="N43" s="523"/>
    </row>
    <row r="44" spans="1:14" ht="15">
      <c r="A44" s="523"/>
      <c r="B44" s="523"/>
      <c r="C44" s="1567" t="s">
        <v>880</v>
      </c>
      <c r="D44" s="706" t="s">
        <v>65</v>
      </c>
      <c r="E44" s="941">
        <v>1.0243794927017467</v>
      </c>
      <c r="F44" s="941">
        <v>0</v>
      </c>
      <c r="G44" s="708">
        <f t="shared" si="4"/>
        <v>1.0243794927017467</v>
      </c>
      <c r="H44" s="523"/>
      <c r="I44" s="523"/>
      <c r="J44" s="523"/>
      <c r="K44" s="523"/>
      <c r="L44" s="574"/>
      <c r="M44" s="523"/>
      <c r="N44" s="523"/>
    </row>
    <row r="45" spans="1:14" ht="15">
      <c r="A45" s="523"/>
      <c r="B45" s="523"/>
      <c r="C45" s="1568"/>
      <c r="D45" s="712" t="s">
        <v>618</v>
      </c>
      <c r="E45" s="938">
        <v>1.927075053930345</v>
      </c>
      <c r="F45" s="938">
        <v>0.02175485876232139</v>
      </c>
      <c r="G45" s="657">
        <f t="shared" si="4"/>
        <v>1.9488299126926663</v>
      </c>
      <c r="H45" s="523"/>
      <c r="I45" s="523"/>
      <c r="J45" s="523"/>
      <c r="K45" s="523"/>
      <c r="L45" s="574"/>
      <c r="M45" s="523"/>
      <c r="N45" s="523"/>
    </row>
    <row r="46" spans="1:14" ht="15">
      <c r="A46" s="523"/>
      <c r="B46" s="523"/>
      <c r="C46" s="1568"/>
      <c r="D46" s="712" t="s">
        <v>619</v>
      </c>
      <c r="E46" s="707">
        <v>0</v>
      </c>
      <c r="F46" s="707">
        <v>0</v>
      </c>
      <c r="G46" s="657">
        <f t="shared" si="4"/>
        <v>0</v>
      </c>
      <c r="H46" s="523"/>
      <c r="I46" s="523"/>
      <c r="J46" s="523"/>
      <c r="K46" s="523"/>
      <c r="L46" s="574"/>
      <c r="M46" s="523"/>
      <c r="N46" s="523"/>
    </row>
    <row r="47" spans="1:14" ht="15">
      <c r="A47" s="523"/>
      <c r="B47" s="523"/>
      <c r="C47" s="1568"/>
      <c r="D47" s="712" t="s">
        <v>64</v>
      </c>
      <c r="E47" s="707">
        <v>1.1254418351098032</v>
      </c>
      <c r="F47" s="707">
        <v>0.1</v>
      </c>
      <c r="G47" s="657">
        <f t="shared" si="4"/>
        <v>1.2254418351098033</v>
      </c>
      <c r="H47" s="523"/>
      <c r="I47" s="523"/>
      <c r="J47" s="523"/>
      <c r="K47" s="523"/>
      <c r="L47" s="574"/>
      <c r="M47" s="523"/>
      <c r="N47" s="523"/>
    </row>
    <row r="48" spans="1:14" ht="15">
      <c r="A48" s="523"/>
      <c r="B48" s="523"/>
      <c r="C48" s="1568"/>
      <c r="D48" s="712" t="s">
        <v>594</v>
      </c>
      <c r="E48" s="942">
        <v>0.2</v>
      </c>
      <c r="F48" s="942">
        <v>0.3</v>
      </c>
      <c r="G48" s="657">
        <f t="shared" si="4"/>
        <v>0.5</v>
      </c>
      <c r="H48" s="523"/>
      <c r="I48" s="523"/>
      <c r="J48" s="523"/>
      <c r="K48" s="523"/>
      <c r="L48" s="574"/>
      <c r="M48" s="523"/>
      <c r="N48" s="523"/>
    </row>
    <row r="49" spans="1:14" ht="15.75" thickBot="1">
      <c r="A49" s="523"/>
      <c r="B49" s="523"/>
      <c r="C49" s="1569"/>
      <c r="D49" s="715" t="s">
        <v>595</v>
      </c>
      <c r="E49" s="710">
        <v>1.0400698027565143</v>
      </c>
      <c r="F49" s="710">
        <v>0.011384128074684282</v>
      </c>
      <c r="G49" s="711">
        <f t="shared" si="4"/>
        <v>1.0514539308311985</v>
      </c>
      <c r="H49" s="523"/>
      <c r="I49" s="523"/>
      <c r="J49" s="523"/>
      <c r="K49" s="523"/>
      <c r="L49" s="574"/>
      <c r="M49" s="523"/>
      <c r="N49" s="523"/>
    </row>
    <row r="50" spans="1:14" ht="15">
      <c r="A50" s="523"/>
      <c r="B50" s="523"/>
      <c r="C50" s="1567" t="s">
        <v>878</v>
      </c>
      <c r="D50" s="716" t="s">
        <v>65</v>
      </c>
      <c r="E50" s="938">
        <v>7.84721335961233</v>
      </c>
      <c r="F50" s="938">
        <v>0</v>
      </c>
      <c r="G50" s="708">
        <f t="shared" si="4"/>
        <v>7.84721335961233</v>
      </c>
      <c r="H50" s="523"/>
      <c r="I50" s="523"/>
      <c r="J50" s="523"/>
      <c r="K50" s="523"/>
      <c r="L50" s="574"/>
      <c r="M50" s="523"/>
      <c r="N50" s="523"/>
    </row>
    <row r="51" spans="1:14" ht="15">
      <c r="A51" s="523"/>
      <c r="B51" s="523"/>
      <c r="C51" s="1568"/>
      <c r="D51" s="712" t="s">
        <v>618</v>
      </c>
      <c r="E51" s="707">
        <v>0.03889869027803813</v>
      </c>
      <c r="F51" s="707">
        <v>0</v>
      </c>
      <c r="G51" s="657">
        <f t="shared" si="4"/>
        <v>0.03889869027803813</v>
      </c>
      <c r="H51" s="523"/>
      <c r="I51" s="523"/>
      <c r="J51" s="523"/>
      <c r="K51" s="523"/>
      <c r="L51" s="574"/>
      <c r="M51" s="523"/>
      <c r="N51" s="523"/>
    </row>
    <row r="52" spans="1:14" ht="15">
      <c r="A52" s="523"/>
      <c r="B52" s="523"/>
      <c r="C52" s="1568"/>
      <c r="D52" s="717" t="s">
        <v>596</v>
      </c>
      <c r="E52" s="707">
        <v>0</v>
      </c>
      <c r="F52" s="707">
        <v>0</v>
      </c>
      <c r="G52" s="657">
        <f t="shared" si="4"/>
        <v>0</v>
      </c>
      <c r="H52" s="523"/>
      <c r="I52" s="523"/>
      <c r="J52" s="523"/>
      <c r="K52" s="523"/>
      <c r="L52" s="574"/>
      <c r="M52" s="523"/>
      <c r="N52" s="523"/>
    </row>
    <row r="53" spans="1:14" ht="15">
      <c r="A53" s="523"/>
      <c r="B53" s="523"/>
      <c r="C53" s="1568"/>
      <c r="D53" s="717" t="s">
        <v>64</v>
      </c>
      <c r="E53" s="707">
        <v>0.2</v>
      </c>
      <c r="F53" s="707">
        <v>0</v>
      </c>
      <c r="G53" s="657">
        <f t="shared" si="4"/>
        <v>0.2</v>
      </c>
      <c r="H53" s="523"/>
      <c r="I53" s="523"/>
      <c r="J53" s="523"/>
      <c r="K53" s="523"/>
      <c r="L53" s="574"/>
      <c r="M53" s="523"/>
      <c r="N53" s="523"/>
    </row>
    <row r="54" spans="1:14" ht="15">
      <c r="A54" s="523"/>
      <c r="B54" s="523"/>
      <c r="C54" s="1568"/>
      <c r="D54" s="717" t="s">
        <v>594</v>
      </c>
      <c r="E54" s="707">
        <v>0.04673891977064727</v>
      </c>
      <c r="F54" s="707">
        <v>0</v>
      </c>
      <c r="G54" s="657">
        <f t="shared" si="4"/>
        <v>0.04673891977064727</v>
      </c>
      <c r="H54" s="523"/>
      <c r="I54" s="523"/>
      <c r="J54" s="523"/>
      <c r="K54" s="523"/>
      <c r="L54" s="574"/>
      <c r="M54" s="523"/>
      <c r="N54" s="523"/>
    </row>
    <row r="55" spans="1:14" ht="15.75" thickBot="1">
      <c r="A55" s="523"/>
      <c r="B55" s="523"/>
      <c r="C55" s="1569"/>
      <c r="D55" s="715" t="s">
        <v>595</v>
      </c>
      <c r="E55" s="710">
        <v>0.0271369633283247</v>
      </c>
      <c r="F55" s="710">
        <v>0.003935454194238814</v>
      </c>
      <c r="G55" s="657">
        <f t="shared" si="4"/>
        <v>0.031072417522563515</v>
      </c>
      <c r="H55" s="523"/>
      <c r="I55" s="523"/>
      <c r="J55" s="523"/>
      <c r="K55" s="523"/>
      <c r="L55" s="574"/>
      <c r="M55" s="523"/>
      <c r="N55" s="523"/>
    </row>
    <row r="56" spans="1:14" ht="15.75" thickBot="1">
      <c r="A56" s="523"/>
      <c r="B56" s="523"/>
      <c r="C56" s="568" t="s">
        <v>597</v>
      </c>
      <c r="D56" s="569"/>
      <c r="E56" s="718">
        <f>SUM(E31:E55)</f>
        <v>37.23604129536969</v>
      </c>
      <c r="F56" s="718">
        <f>SUM(F31:F55)</f>
        <v>3.7281018181236933</v>
      </c>
      <c r="G56" s="718">
        <f t="shared" si="4"/>
        <v>40.96414311349338</v>
      </c>
      <c r="H56" s="685"/>
      <c r="I56" s="523"/>
      <c r="J56" s="523"/>
      <c r="K56" s="523"/>
      <c r="L56" s="523"/>
      <c r="M56" s="574"/>
      <c r="N56" s="523"/>
    </row>
    <row r="57" spans="1:14" ht="15.75" thickBot="1">
      <c r="A57" s="523"/>
      <c r="B57" s="523"/>
      <c r="C57" s="719" t="s">
        <v>423</v>
      </c>
      <c r="D57" s="571"/>
      <c r="E57" s="707">
        <v>0</v>
      </c>
      <c r="F57" s="707">
        <v>0</v>
      </c>
      <c r="G57" s="657">
        <f t="shared" si="4"/>
        <v>0</v>
      </c>
      <c r="H57" s="685"/>
      <c r="I57" s="685"/>
      <c r="J57" s="685"/>
      <c r="K57" s="523"/>
      <c r="L57" s="523"/>
      <c r="M57" s="574"/>
      <c r="N57" s="523"/>
    </row>
    <row r="58" spans="1:14" ht="15.75" thickBot="1">
      <c r="A58" s="523"/>
      <c r="B58" s="523"/>
      <c r="C58" s="568" t="s">
        <v>598</v>
      </c>
      <c r="D58" s="569"/>
      <c r="E58" s="718">
        <f>SUM(E56:E57)</f>
        <v>37.23604129536969</v>
      </c>
      <c r="F58" s="718">
        <f>SUM(F56:F57)</f>
        <v>3.7281018181236933</v>
      </c>
      <c r="G58" s="718">
        <f t="shared" si="4"/>
        <v>40.96414311349338</v>
      </c>
      <c r="H58" s="523"/>
      <c r="I58" s="523"/>
      <c r="J58" s="523"/>
      <c r="K58" s="523"/>
      <c r="L58" s="574"/>
      <c r="M58" s="523"/>
      <c r="N58" s="523"/>
    </row>
    <row r="59" spans="1:14" ht="13.5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15.75" thickBot="1">
      <c r="A60" s="523"/>
      <c r="B60" s="523"/>
      <c r="C60" s="720" t="s">
        <v>465</v>
      </c>
      <c r="D60" s="721"/>
      <c r="E60" s="722" t="s">
        <v>875</v>
      </c>
      <c r="F60" s="722" t="s">
        <v>874</v>
      </c>
      <c r="G60" s="722" t="s">
        <v>880</v>
      </c>
      <c r="H60" s="722" t="s">
        <v>878</v>
      </c>
      <c r="I60" s="722" t="s">
        <v>881</v>
      </c>
      <c r="J60" s="523"/>
      <c r="K60" s="523"/>
      <c r="L60" s="523"/>
      <c r="M60" s="574"/>
      <c r="N60" s="523"/>
    </row>
    <row r="61" spans="1:14" ht="18.75" thickBot="1">
      <c r="A61" s="523"/>
      <c r="B61" s="523"/>
      <c r="C61" s="723" t="s">
        <v>901</v>
      </c>
      <c r="D61" s="724"/>
      <c r="E61" s="526" t="s">
        <v>656</v>
      </c>
      <c r="F61" s="526" t="s">
        <v>656</v>
      </c>
      <c r="G61" s="526" t="s">
        <v>656</v>
      </c>
      <c r="H61" s="526" t="s">
        <v>656</v>
      </c>
      <c r="I61" s="526" t="s">
        <v>656</v>
      </c>
      <c r="J61" s="523"/>
      <c r="K61" s="523"/>
      <c r="L61" s="523"/>
      <c r="M61" s="523"/>
      <c r="N61" s="574"/>
    </row>
    <row r="62" spans="1:14" ht="15">
      <c r="A62" s="523"/>
      <c r="B62" s="523"/>
      <c r="C62" s="725" t="s">
        <v>607</v>
      </c>
      <c r="D62" s="726"/>
      <c r="E62" s="938">
        <v>0.7815452899229874</v>
      </c>
      <c r="F62" s="938">
        <v>7.02004298857002</v>
      </c>
      <c r="G62" s="938">
        <v>0</v>
      </c>
      <c r="H62" s="938">
        <v>0</v>
      </c>
      <c r="I62" s="727">
        <f>SUM(E62:H62)</f>
        <v>7.801588278493007</v>
      </c>
      <c r="J62" s="523"/>
      <c r="K62" s="523"/>
      <c r="L62" s="523"/>
      <c r="M62" s="523"/>
      <c r="N62" s="574"/>
    </row>
    <row r="63" spans="1:14" ht="15">
      <c r="A63" s="523"/>
      <c r="B63" s="523"/>
      <c r="C63" s="728" t="s">
        <v>608</v>
      </c>
      <c r="D63" s="729"/>
      <c r="E63" s="707">
        <v>0.1737032491985523</v>
      </c>
      <c r="F63" s="707">
        <v>0.354647895334828</v>
      </c>
      <c r="G63" s="707">
        <v>0.10272204271495809</v>
      </c>
      <c r="H63" s="707">
        <v>0.1197787213940734</v>
      </c>
      <c r="I63" s="673">
        <f aca="true" t="shared" si="5" ref="I63:I70">SUM(E63:H63)</f>
        <v>0.7508519086424118</v>
      </c>
      <c r="J63" s="523"/>
      <c r="K63" s="523"/>
      <c r="L63" s="523"/>
      <c r="M63" s="523"/>
      <c r="N63" s="574"/>
    </row>
    <row r="64" spans="1:14" ht="15">
      <c r="A64" s="523"/>
      <c r="B64" s="523"/>
      <c r="C64" s="728" t="s">
        <v>620</v>
      </c>
      <c r="D64" s="729"/>
      <c r="E64" s="707">
        <v>0</v>
      </c>
      <c r="F64" s="707">
        <v>0</v>
      </c>
      <c r="G64" s="707">
        <v>0.11286464185897649</v>
      </c>
      <c r="H64" s="707">
        <v>0</v>
      </c>
      <c r="I64" s="673">
        <f t="shared" si="5"/>
        <v>0.11286464185897649</v>
      </c>
      <c r="J64" s="523"/>
      <c r="K64" s="523"/>
      <c r="L64" s="523"/>
      <c r="M64" s="523"/>
      <c r="N64" s="574"/>
    </row>
    <row r="65" spans="1:14" ht="15">
      <c r="A65" s="523"/>
      <c r="B65" s="523"/>
      <c r="C65" s="728" t="s">
        <v>621</v>
      </c>
      <c r="D65" s="729"/>
      <c r="E65" s="707">
        <v>0.02413848556383229</v>
      </c>
      <c r="F65" s="707">
        <v>0.0013113855472286782</v>
      </c>
      <c r="G65" s="707">
        <v>0</v>
      </c>
      <c r="H65" s="707">
        <v>0</v>
      </c>
      <c r="I65" s="673">
        <f t="shared" si="5"/>
        <v>0.02544987111106097</v>
      </c>
      <c r="J65" s="523"/>
      <c r="K65" s="523"/>
      <c r="L65" s="523"/>
      <c r="M65" s="523"/>
      <c r="N65" s="574"/>
    </row>
    <row r="66" spans="1:14" ht="15">
      <c r="A66" s="523"/>
      <c r="B66" s="523"/>
      <c r="C66" s="728" t="s">
        <v>487</v>
      </c>
      <c r="D66" s="729"/>
      <c r="E66" s="707">
        <v>0.11120728744961361</v>
      </c>
      <c r="F66" s="707">
        <v>0.29512880668171876</v>
      </c>
      <c r="G66" s="707">
        <v>0</v>
      </c>
      <c r="H66" s="707">
        <v>0</v>
      </c>
      <c r="I66" s="673">
        <f t="shared" si="5"/>
        <v>0.40633609413133237</v>
      </c>
      <c r="J66" s="523"/>
      <c r="K66" s="523"/>
      <c r="L66" s="523"/>
      <c r="M66" s="523"/>
      <c r="N66" s="574"/>
    </row>
    <row r="67" spans="1:14" ht="15">
      <c r="A67" s="523"/>
      <c r="B67" s="523"/>
      <c r="C67" s="728" t="s">
        <v>488</v>
      </c>
      <c r="D67" s="729"/>
      <c r="E67" s="707">
        <v>0</v>
      </c>
      <c r="F67" s="707">
        <v>0.018356852588707312</v>
      </c>
      <c r="G67" s="707">
        <v>0</v>
      </c>
      <c r="H67" s="707">
        <v>0</v>
      </c>
      <c r="I67" s="673">
        <f t="shared" si="5"/>
        <v>0.018356852588707312</v>
      </c>
      <c r="J67" s="523"/>
      <c r="K67" s="523"/>
      <c r="L67" s="523"/>
      <c r="M67" s="523"/>
      <c r="N67" s="574"/>
    </row>
    <row r="68" spans="1:14" ht="15">
      <c r="A68" s="523"/>
      <c r="B68" s="523"/>
      <c r="C68" s="728" t="s">
        <v>489</v>
      </c>
      <c r="D68" s="729"/>
      <c r="E68" s="707">
        <v>0</v>
      </c>
      <c r="F68" s="707">
        <v>0</v>
      </c>
      <c r="G68" s="707">
        <v>0</v>
      </c>
      <c r="H68" s="707">
        <v>0</v>
      </c>
      <c r="I68" s="673">
        <f t="shared" si="5"/>
        <v>0</v>
      </c>
      <c r="J68" s="523"/>
      <c r="K68" s="523"/>
      <c r="L68" s="523"/>
      <c r="M68" s="523"/>
      <c r="N68" s="574"/>
    </row>
    <row r="69" spans="1:14" ht="15">
      <c r="A69" s="523"/>
      <c r="B69" s="523"/>
      <c r="C69" s="728" t="s">
        <v>934</v>
      </c>
      <c r="D69" s="730"/>
      <c r="E69" s="942">
        <v>0</v>
      </c>
      <c r="F69" s="942">
        <v>0.009811695777044846</v>
      </c>
      <c r="G69" s="942">
        <v>0</v>
      </c>
      <c r="H69" s="942">
        <v>0</v>
      </c>
      <c r="I69" s="684">
        <f t="shared" si="5"/>
        <v>0.009811695777044846</v>
      </c>
      <c r="J69" s="523"/>
      <c r="K69" s="523"/>
      <c r="L69" s="523"/>
      <c r="M69" s="523"/>
      <c r="N69" s="574"/>
    </row>
    <row r="70" spans="1:14" ht="15.75" thickBot="1">
      <c r="A70" s="523"/>
      <c r="B70" s="523"/>
      <c r="C70" s="731" t="s">
        <v>935</v>
      </c>
      <c r="D70" s="732"/>
      <c r="E70" s="942">
        <v>2.4874614662343606</v>
      </c>
      <c r="F70" s="942">
        <v>3.2468033810427106</v>
      </c>
      <c r="G70" s="942">
        <v>0.6450378616254814</v>
      </c>
      <c r="H70" s="942">
        <v>1.7982738528536242</v>
      </c>
      <c r="I70" s="733">
        <f t="shared" si="5"/>
        <v>8.177576561756176</v>
      </c>
      <c r="J70" s="523"/>
      <c r="K70" s="523"/>
      <c r="L70" s="523"/>
      <c r="M70" s="523"/>
      <c r="N70" s="574"/>
    </row>
    <row r="71" spans="1:14" ht="15.75" thickBot="1">
      <c r="A71" s="523"/>
      <c r="B71" s="523"/>
      <c r="C71" s="734" t="s">
        <v>749</v>
      </c>
      <c r="D71" s="735"/>
      <c r="E71" s="691">
        <f>SUM(E62:E70)</f>
        <v>3.5780557783693463</v>
      </c>
      <c r="F71" s="691">
        <f>SUM(F62:F70)</f>
        <v>10.946103005542257</v>
      </c>
      <c r="G71" s="691">
        <f>SUM(G62:G70)</f>
        <v>0.860624546199416</v>
      </c>
      <c r="H71" s="691">
        <f>SUM(H62:H70)</f>
        <v>1.9180525742476975</v>
      </c>
      <c r="I71" s="691">
        <f>SUM(I62:I70)</f>
        <v>17.302835904358716</v>
      </c>
      <c r="J71" s="523"/>
      <c r="K71" s="523"/>
      <c r="L71" s="523"/>
      <c r="M71" s="523"/>
      <c r="N71" s="574"/>
    </row>
    <row r="72" spans="1:14" ht="15.75" thickBot="1">
      <c r="A72" s="523"/>
      <c r="B72" s="523"/>
      <c r="C72" s="736" t="s">
        <v>423</v>
      </c>
      <c r="D72" s="571"/>
      <c r="E72" s="707">
        <v>0</v>
      </c>
      <c r="F72" s="707">
        <v>0</v>
      </c>
      <c r="G72" s="707">
        <v>0</v>
      </c>
      <c r="H72" s="707">
        <v>0</v>
      </c>
      <c r="I72" s="691">
        <f>SUM(E72:H72)</f>
        <v>0</v>
      </c>
      <c r="J72" s="523"/>
      <c r="K72" s="523"/>
      <c r="L72" s="523"/>
      <c r="M72" s="574"/>
      <c r="N72" s="523"/>
    </row>
    <row r="73" spans="1:14" ht="15.75" thickBot="1">
      <c r="A73" s="523"/>
      <c r="B73" s="523"/>
      <c r="C73" s="734" t="s">
        <v>629</v>
      </c>
      <c r="D73" s="569"/>
      <c r="E73" s="737">
        <f>SUM(E71:E72)</f>
        <v>3.5780557783693463</v>
      </c>
      <c r="F73" s="737">
        <f>SUM(F71:F72)</f>
        <v>10.946103005542257</v>
      </c>
      <c r="G73" s="737">
        <f>SUM(G71:G72)</f>
        <v>0.860624546199416</v>
      </c>
      <c r="H73" s="737">
        <f>SUM(H71:H72)</f>
        <v>1.9180525742476975</v>
      </c>
      <c r="I73" s="737">
        <f>SUM(I71:I72)</f>
        <v>17.302835904358716</v>
      </c>
      <c r="J73" s="523"/>
      <c r="K73" s="523"/>
      <c r="L73" s="523"/>
      <c r="M73" s="574"/>
      <c r="N73" s="523"/>
    </row>
    <row r="74" spans="1:14" ht="15.75" thickBot="1">
      <c r="A74" s="523"/>
      <c r="B74" s="523"/>
      <c r="C74" s="625"/>
      <c r="D74" s="738"/>
      <c r="E74" s="738"/>
      <c r="F74" s="738"/>
      <c r="G74" s="738"/>
      <c r="H74" s="739"/>
      <c r="I74" s="739"/>
      <c r="J74" s="739"/>
      <c r="K74" s="739"/>
      <c r="L74" s="523"/>
      <c r="M74" s="523"/>
      <c r="N74" s="523"/>
    </row>
    <row r="75" spans="1:14" ht="15.75" thickBot="1">
      <c r="A75" s="523"/>
      <c r="B75" s="523"/>
      <c r="C75" s="734" t="s">
        <v>470</v>
      </c>
      <c r="D75" s="735"/>
      <c r="E75" s="740">
        <f>+I71+G56</f>
        <v>58.266979017852094</v>
      </c>
      <c r="F75" s="685"/>
      <c r="G75" s="523"/>
      <c r="H75" s="523"/>
      <c r="I75" s="523"/>
      <c r="J75" s="523"/>
      <c r="K75" s="523"/>
      <c r="L75" s="523"/>
      <c r="M75" s="574"/>
      <c r="N75" s="523"/>
    </row>
    <row r="76" spans="1:14" ht="15.75" thickBot="1">
      <c r="A76" s="523"/>
      <c r="B76" s="523"/>
      <c r="C76" s="734" t="s">
        <v>423</v>
      </c>
      <c r="D76" s="571"/>
      <c r="E76" s="741">
        <f>+G57+I72</f>
        <v>0</v>
      </c>
      <c r="F76" s="685"/>
      <c r="G76" s="523"/>
      <c r="H76" s="523"/>
      <c r="I76" s="523"/>
      <c r="J76" s="523"/>
      <c r="K76" s="523"/>
      <c r="L76" s="523"/>
      <c r="M76" s="574"/>
      <c r="N76" s="523"/>
    </row>
    <row r="77" spans="1:14" ht="15.75" thickBot="1">
      <c r="A77" s="523"/>
      <c r="B77" s="523"/>
      <c r="C77" s="734" t="s">
        <v>292</v>
      </c>
      <c r="D77" s="569"/>
      <c r="E77" s="737">
        <f>+E76+E75</f>
        <v>58.266979017852094</v>
      </c>
      <c r="F77" s="523"/>
      <c r="G77" s="523"/>
      <c r="H77" s="523"/>
      <c r="I77" s="523"/>
      <c r="J77" s="523"/>
      <c r="K77" s="523"/>
      <c r="L77" s="523"/>
      <c r="M77" s="574"/>
      <c r="N77" s="523"/>
    </row>
    <row r="78" spans="1:14" ht="15" thickBot="1">
      <c r="A78" s="523"/>
      <c r="B78" s="523"/>
      <c r="C78" s="519"/>
      <c r="D78" s="519"/>
      <c r="E78" s="519"/>
      <c r="F78" s="519"/>
      <c r="G78" s="519"/>
      <c r="H78" s="519"/>
      <c r="I78" s="519"/>
      <c r="J78" s="519"/>
      <c r="K78" s="519"/>
      <c r="L78" s="523"/>
      <c r="M78" s="523"/>
      <c r="N78" s="523"/>
    </row>
    <row r="79" spans="1:14" ht="18.75" thickBot="1">
      <c r="A79" s="523"/>
      <c r="B79" s="523"/>
      <c r="C79" s="742" t="s">
        <v>293</v>
      </c>
      <c r="D79" s="743"/>
      <c r="E79" s="744"/>
      <c r="F79" s="744"/>
      <c r="G79" s="745"/>
      <c r="H79" s="523"/>
      <c r="I79" s="523"/>
      <c r="J79" s="523"/>
      <c r="K79" s="523"/>
      <c r="L79" s="523"/>
      <c r="M79" s="523"/>
      <c r="N79" s="523"/>
    </row>
    <row r="80" spans="1:14" ht="45.75" thickBot="1">
      <c r="A80" s="523"/>
      <c r="B80" s="523"/>
      <c r="C80" s="746" t="s">
        <v>901</v>
      </c>
      <c r="D80" s="699"/>
      <c r="E80" s="747" t="s">
        <v>881</v>
      </c>
      <c r="F80" s="748" t="s">
        <v>294</v>
      </c>
      <c r="G80" s="748" t="s">
        <v>295</v>
      </c>
      <c r="H80" s="523"/>
      <c r="I80" s="523"/>
      <c r="J80" s="523"/>
      <c r="K80" s="523"/>
      <c r="L80" s="523"/>
      <c r="M80" s="523"/>
      <c r="N80" s="523"/>
    </row>
    <row r="81" spans="1:14" ht="15.75" thickBot="1">
      <c r="A81" s="523"/>
      <c r="B81" s="523"/>
      <c r="C81" s="749"/>
      <c r="D81" s="750"/>
      <c r="E81" s="751" t="s">
        <v>656</v>
      </c>
      <c r="F81" s="526" t="s">
        <v>656</v>
      </c>
      <c r="G81" s="526" t="s">
        <v>656</v>
      </c>
      <c r="H81" s="523"/>
      <c r="I81" s="523"/>
      <c r="J81" s="523"/>
      <c r="K81" s="523"/>
      <c r="L81" s="523"/>
      <c r="M81" s="523"/>
      <c r="N81" s="523"/>
    </row>
    <row r="82" spans="1:14" ht="14.25">
      <c r="A82" s="523"/>
      <c r="B82" s="523"/>
      <c r="C82" s="752" t="s">
        <v>483</v>
      </c>
      <c r="D82" s="753"/>
      <c r="E82" s="708">
        <f aca="true" t="shared" si="6" ref="E82:E88">SUM(F82:G82)</f>
        <v>0.3</v>
      </c>
      <c r="F82" s="940">
        <v>0.3</v>
      </c>
      <c r="G82" s="940"/>
      <c r="H82" s="523"/>
      <c r="I82" s="523"/>
      <c r="J82" s="523"/>
      <c r="K82" s="523"/>
      <c r="L82" s="523"/>
      <c r="M82" s="523"/>
      <c r="N82" s="523"/>
    </row>
    <row r="83" spans="1:14" ht="14.25">
      <c r="A83" s="523"/>
      <c r="B83" s="523"/>
      <c r="C83" s="754" t="s">
        <v>296</v>
      </c>
      <c r="D83" s="610"/>
      <c r="E83" s="657">
        <f t="shared" si="6"/>
        <v>0</v>
      </c>
      <c r="F83" s="940"/>
      <c r="G83" s="940"/>
      <c r="H83" s="523"/>
      <c r="I83" s="523"/>
      <c r="J83" s="523"/>
      <c r="K83" s="523"/>
      <c r="L83" s="523"/>
      <c r="M83" s="523"/>
      <c r="N83" s="523"/>
    </row>
    <row r="84" spans="1:14" ht="14.25">
      <c r="A84" s="523"/>
      <c r="B84" s="523"/>
      <c r="C84" s="754" t="s">
        <v>297</v>
      </c>
      <c r="D84" s="610"/>
      <c r="E84" s="657">
        <f t="shared" si="6"/>
        <v>1.499</v>
      </c>
      <c r="F84" s="940">
        <v>1.499</v>
      </c>
      <c r="G84" s="940"/>
      <c r="H84" s="523"/>
      <c r="I84" s="523"/>
      <c r="J84" s="523"/>
      <c r="K84" s="523"/>
      <c r="L84" s="523"/>
      <c r="M84" s="523"/>
      <c r="N84" s="523"/>
    </row>
    <row r="85" spans="1:14" ht="14.25">
      <c r="A85" s="523"/>
      <c r="B85" s="523"/>
      <c r="C85" s="754" t="s">
        <v>318</v>
      </c>
      <c r="D85" s="610"/>
      <c r="E85" s="657">
        <f t="shared" si="6"/>
        <v>0</v>
      </c>
      <c r="F85" s="940"/>
      <c r="G85" s="940"/>
      <c r="H85" s="523"/>
      <c r="I85" s="523"/>
      <c r="J85" s="523"/>
      <c r="K85" s="523"/>
      <c r="L85" s="523"/>
      <c r="M85" s="523"/>
      <c r="N85" s="523"/>
    </row>
    <row r="86" spans="1:14" ht="14.25">
      <c r="A86" s="523"/>
      <c r="B86" s="523"/>
      <c r="C86" s="754" t="s">
        <v>471</v>
      </c>
      <c r="D86" s="610"/>
      <c r="E86" s="657">
        <f t="shared" si="6"/>
        <v>0</v>
      </c>
      <c r="F86" s="940"/>
      <c r="G86" s="940"/>
      <c r="H86" s="523"/>
      <c r="I86" s="523"/>
      <c r="J86" s="523"/>
      <c r="K86" s="523"/>
      <c r="L86" s="523"/>
      <c r="M86" s="523"/>
      <c r="N86" s="523"/>
    </row>
    <row r="87" spans="1:14" ht="14.25">
      <c r="A87" s="523"/>
      <c r="B87" s="523"/>
      <c r="C87" s="754" t="s">
        <v>748</v>
      </c>
      <c r="D87" s="610"/>
      <c r="E87" s="657">
        <f t="shared" si="6"/>
        <v>0.609</v>
      </c>
      <c r="F87" s="940">
        <v>0.609</v>
      </c>
      <c r="G87" s="940"/>
      <c r="H87" s="523"/>
      <c r="I87" s="523"/>
      <c r="J87" s="523"/>
      <c r="K87" s="523"/>
      <c r="L87" s="523"/>
      <c r="M87" s="523"/>
      <c r="N87" s="523"/>
    </row>
    <row r="88" spans="1:14" ht="15" thickBot="1">
      <c r="A88" s="523"/>
      <c r="B88" s="523"/>
      <c r="C88" s="754" t="s">
        <v>773</v>
      </c>
      <c r="D88" s="610"/>
      <c r="E88" s="657">
        <f t="shared" si="6"/>
        <v>0</v>
      </c>
      <c r="F88" s="940"/>
      <c r="G88" s="940"/>
      <c r="H88" s="685"/>
      <c r="I88" s="523"/>
      <c r="J88" s="523"/>
      <c r="K88" s="523"/>
      <c r="L88" s="523"/>
      <c r="M88" s="523"/>
      <c r="N88" s="523"/>
    </row>
    <row r="89" spans="1:14" ht="15.75" thickBot="1">
      <c r="A89" s="523"/>
      <c r="B89" s="523"/>
      <c r="C89" s="568" t="s">
        <v>774</v>
      </c>
      <c r="D89" s="569"/>
      <c r="E89" s="691">
        <f>SUM(E82:E88)</f>
        <v>2.4080000000000004</v>
      </c>
      <c r="F89" s="691">
        <f>SUM(F82:F88)</f>
        <v>2.4080000000000004</v>
      </c>
      <c r="G89" s="691">
        <f>SUM(G82:G88)</f>
        <v>0</v>
      </c>
      <c r="H89" s="685"/>
      <c r="I89" s="523"/>
      <c r="J89" s="523"/>
      <c r="K89" s="523"/>
      <c r="L89" s="523"/>
      <c r="M89" s="523"/>
      <c r="N89" s="523"/>
    </row>
  </sheetData>
  <sheetProtection/>
  <mergeCells count="11">
    <mergeCell ref="C11:D11"/>
    <mergeCell ref="C12:D12"/>
    <mergeCell ref="C13:D13"/>
    <mergeCell ref="C14:D14"/>
    <mergeCell ref="C38:C43"/>
    <mergeCell ref="C44:C49"/>
    <mergeCell ref="C50:C55"/>
    <mergeCell ref="E28:F28"/>
    <mergeCell ref="C31:C32"/>
    <mergeCell ref="C33:C34"/>
    <mergeCell ref="C35:C37"/>
  </mergeCells>
  <dataValidations count="1">
    <dataValidation type="decimal" operator="lessThanOrEqual" allowBlank="1" showInputMessage="1" showErrorMessage="1" sqref="K24 E24:G24 E57:F57 E72:I72">
      <formula1>0</formula1>
    </dataValidation>
  </dataValidation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862" t="s">
        <v>813</v>
      </c>
      <c r="F1" s="857" t="s">
        <v>55</v>
      </c>
    </row>
    <row r="2" ht="12.75">
      <c r="A2" s="862"/>
    </row>
    <row r="3" ht="12.75">
      <c r="A3" s="862" t="s">
        <v>529</v>
      </c>
    </row>
    <row r="5" spans="1:13" ht="12.75">
      <c r="A5" s="795" t="s">
        <v>814</v>
      </c>
      <c r="B5" s="863"/>
      <c r="C5" s="863"/>
      <c r="D5" s="863"/>
      <c r="E5" s="863"/>
      <c r="F5" s="864"/>
      <c r="G5" s="864"/>
      <c r="H5" s="864"/>
      <c r="I5" s="864"/>
      <c r="J5" s="864"/>
      <c r="K5" s="864"/>
      <c r="L5" s="864"/>
      <c r="M5" s="864"/>
    </row>
    <row r="6" spans="1:13" ht="13.5" thickBot="1">
      <c r="A6" s="755"/>
      <c r="B6" s="865"/>
      <c r="C6" s="756"/>
      <c r="D6" s="757"/>
      <c r="E6" s="865"/>
      <c r="F6" s="865"/>
      <c r="G6" s="755"/>
      <c r="H6" s="755"/>
      <c r="I6" s="755"/>
      <c r="J6" s="755"/>
      <c r="K6" s="755"/>
      <c r="L6" s="755"/>
      <c r="M6" s="755"/>
    </row>
    <row r="7" spans="1:13" ht="13.5" thickBot="1">
      <c r="A7" s="864"/>
      <c r="B7" s="866"/>
      <c r="C7" s="796" t="s">
        <v>655</v>
      </c>
      <c r="D7" s="758"/>
      <c r="E7" s="867"/>
      <c r="F7" s="867"/>
      <c r="G7" s="867"/>
      <c r="H7" s="868"/>
      <c r="I7" s="869"/>
      <c r="J7" s="864"/>
      <c r="K7" s="864"/>
      <c r="L7" s="864"/>
      <c r="M7" s="864"/>
    </row>
    <row r="8" spans="1:13" ht="13.5" thickBot="1">
      <c r="A8" s="864"/>
      <c r="B8" s="870"/>
      <c r="C8" s="625"/>
      <c r="D8" s="625"/>
      <c r="E8" s="864"/>
      <c r="F8" s="864"/>
      <c r="G8" s="759" t="s">
        <v>656</v>
      </c>
      <c r="H8" s="759" t="s">
        <v>656</v>
      </c>
      <c r="I8" s="871"/>
      <c r="J8" s="864"/>
      <c r="K8" s="864"/>
      <c r="L8" s="864"/>
      <c r="M8" s="864"/>
    </row>
    <row r="9" spans="1:13" ht="12.75">
      <c r="A9" s="864"/>
      <c r="B9" s="872"/>
      <c r="C9" s="796" t="s">
        <v>657</v>
      </c>
      <c r="D9" s="625"/>
      <c r="E9" s="873"/>
      <c r="F9" s="864"/>
      <c r="G9" s="874"/>
      <c r="H9" s="760"/>
      <c r="I9" s="871"/>
      <c r="J9" s="864"/>
      <c r="K9" s="864"/>
      <c r="L9" s="864"/>
      <c r="M9" s="864"/>
    </row>
    <row r="10" spans="1:13" ht="14.25">
      <c r="A10" s="864"/>
      <c r="B10" s="761"/>
      <c r="C10" s="499"/>
      <c r="D10" s="513" t="s">
        <v>936</v>
      </c>
      <c r="E10" s="511"/>
      <c r="F10" s="755"/>
      <c r="G10" s="875">
        <v>4.4</v>
      </c>
      <c r="H10" s="876"/>
      <c r="I10" s="877"/>
      <c r="J10" s="878"/>
      <c r="K10" s="878"/>
      <c r="L10" s="878"/>
      <c r="M10" s="864"/>
    </row>
    <row r="11" spans="1:13" ht="14.25">
      <c r="A11" s="864"/>
      <c r="B11" s="761"/>
      <c r="C11" s="499"/>
      <c r="D11" s="513" t="s">
        <v>937</v>
      </c>
      <c r="E11" s="511"/>
      <c r="F11" s="755"/>
      <c r="G11" s="875">
        <v>0</v>
      </c>
      <c r="H11" s="876"/>
      <c r="I11" s="877"/>
      <c r="J11" s="878"/>
      <c r="K11" s="878"/>
      <c r="L11" s="878"/>
      <c r="M11" s="864"/>
    </row>
    <row r="12" spans="1:13" ht="14.25">
      <c r="A12" s="864"/>
      <c r="B12" s="761"/>
      <c r="C12" s="499"/>
      <c r="D12" s="513" t="s">
        <v>938</v>
      </c>
      <c r="E12" s="511"/>
      <c r="F12" s="762"/>
      <c r="G12" s="875">
        <v>27.091992</v>
      </c>
      <c r="H12" s="876"/>
      <c r="I12" s="877"/>
      <c r="J12" s="878"/>
      <c r="K12" s="878"/>
      <c r="L12" s="878"/>
      <c r="M12" s="864"/>
    </row>
    <row r="13" spans="1:13" ht="14.25">
      <c r="A13" s="864"/>
      <c r="B13" s="761"/>
      <c r="C13" s="499"/>
      <c r="D13" s="513" t="s">
        <v>862</v>
      </c>
      <c r="E13" s="511"/>
      <c r="F13" s="762"/>
      <c r="G13" s="875">
        <v>1.45009349</v>
      </c>
      <c r="H13" s="876"/>
      <c r="I13" s="877"/>
      <c r="J13" s="878"/>
      <c r="K13" s="878"/>
      <c r="L13" s="878"/>
      <c r="M13" s="864"/>
    </row>
    <row r="14" spans="1:13" ht="14.25">
      <c r="A14" s="864"/>
      <c r="B14" s="761"/>
      <c r="C14" s="499"/>
      <c r="D14" s="797" t="s">
        <v>863</v>
      </c>
      <c r="E14" s="511"/>
      <c r="F14" s="762"/>
      <c r="G14" s="875">
        <v>0</v>
      </c>
      <c r="H14" s="876"/>
      <c r="I14" s="877"/>
      <c r="J14" s="878"/>
      <c r="K14" s="878"/>
      <c r="L14" s="878"/>
      <c r="M14" s="864"/>
    </row>
    <row r="15" spans="1:13" ht="14.25">
      <c r="A15" s="864"/>
      <c r="B15" s="761"/>
      <c r="C15" s="511"/>
      <c r="D15" s="797" t="s">
        <v>626</v>
      </c>
      <c r="E15" s="511"/>
      <c r="F15" s="755"/>
      <c r="G15" s="875">
        <v>0</v>
      </c>
      <c r="H15" s="876">
        <f>SUM(G10:G15)</f>
        <v>32.942085490000004</v>
      </c>
      <c r="I15" s="877"/>
      <c r="J15" s="878"/>
      <c r="K15" s="878"/>
      <c r="L15" s="878"/>
      <c r="M15" s="864"/>
    </row>
    <row r="16" spans="1:13" ht="14.25">
      <c r="A16" s="864"/>
      <c r="B16" s="761"/>
      <c r="C16" s="796" t="s">
        <v>939</v>
      </c>
      <c r="D16" s="797"/>
      <c r="E16" s="511"/>
      <c r="F16" s="755"/>
      <c r="G16" s="879"/>
      <c r="H16" s="880"/>
      <c r="I16" s="877"/>
      <c r="J16" s="878"/>
      <c r="K16" s="878"/>
      <c r="L16" s="878"/>
      <c r="M16" s="864"/>
    </row>
    <row r="17" spans="1:13" ht="14.25">
      <c r="A17" s="864"/>
      <c r="B17" s="761"/>
      <c r="C17" s="511"/>
      <c r="D17" s="797" t="s">
        <v>775</v>
      </c>
      <c r="E17" s="511"/>
      <c r="F17" s="755"/>
      <c r="G17" s="875">
        <v>0</v>
      </c>
      <c r="H17" s="876"/>
      <c r="I17" s="877"/>
      <c r="J17" s="878"/>
      <c r="K17" s="878"/>
      <c r="L17" s="878"/>
      <c r="M17" s="864"/>
    </row>
    <row r="18" spans="1:13" ht="14.25">
      <c r="A18" s="864"/>
      <c r="B18" s="761"/>
      <c r="C18" s="511"/>
      <c r="D18" s="797" t="s">
        <v>746</v>
      </c>
      <c r="E18" s="511"/>
      <c r="F18" s="755"/>
      <c r="G18" s="875">
        <v>0.5485991</v>
      </c>
      <c r="H18" s="876"/>
      <c r="I18" s="877"/>
      <c r="J18" s="878"/>
      <c r="K18" s="878"/>
      <c r="L18" s="878"/>
      <c r="M18" s="864"/>
    </row>
    <row r="19" spans="1:13" ht="14.25">
      <c r="A19" s="864"/>
      <c r="B19" s="761"/>
      <c r="C19" s="511"/>
      <c r="D19" s="797" t="s">
        <v>747</v>
      </c>
      <c r="E19" s="511"/>
      <c r="F19" s="755"/>
      <c r="G19" s="875">
        <v>0.3140412134</v>
      </c>
      <c r="H19" s="876">
        <f>SUM(G17:G19)</f>
        <v>0.8626403134</v>
      </c>
      <c r="I19" s="877"/>
      <c r="J19" s="878"/>
      <c r="K19" s="878"/>
      <c r="L19" s="878"/>
      <c r="M19" s="864"/>
    </row>
    <row r="20" spans="1:13" ht="14.25">
      <c r="A20" s="864"/>
      <c r="B20" s="761"/>
      <c r="C20" s="796" t="s">
        <v>815</v>
      </c>
      <c r="D20" s="797"/>
      <c r="E20" s="511"/>
      <c r="F20" s="755"/>
      <c r="G20" s="879"/>
      <c r="H20" s="880"/>
      <c r="I20" s="877"/>
      <c r="J20" s="878"/>
      <c r="K20" s="878"/>
      <c r="L20" s="878"/>
      <c r="M20" s="864"/>
    </row>
    <row r="21" spans="1:13" ht="14.25">
      <c r="A21" s="864"/>
      <c r="B21" s="761"/>
      <c r="C21" s="511"/>
      <c r="D21" s="797" t="s">
        <v>729</v>
      </c>
      <c r="E21" s="511"/>
      <c r="F21" s="755"/>
      <c r="G21" s="875">
        <v>0.016526079999999665</v>
      </c>
      <c r="H21" s="876"/>
      <c r="I21" s="877"/>
      <c r="J21" s="878"/>
      <c r="K21" s="878"/>
      <c r="L21" s="878"/>
      <c r="M21" s="864"/>
    </row>
    <row r="22" spans="1:13" ht="14.25">
      <c r="A22" s="864"/>
      <c r="B22" s="761"/>
      <c r="C22" s="511"/>
      <c r="D22" s="513" t="s">
        <v>730</v>
      </c>
      <c r="E22" s="511"/>
      <c r="F22" s="755"/>
      <c r="G22" s="875">
        <v>39.9127568597</v>
      </c>
      <c r="H22" s="876"/>
      <c r="I22" s="877"/>
      <c r="J22" s="878"/>
      <c r="K22" s="878"/>
      <c r="L22" s="878"/>
      <c r="M22" s="864"/>
    </row>
    <row r="23" spans="1:13" ht="14.25">
      <c r="A23" s="864"/>
      <c r="B23" s="761"/>
      <c r="C23" s="511"/>
      <c r="D23" s="881" t="s">
        <v>731</v>
      </c>
      <c r="E23" s="511"/>
      <c r="F23" s="762"/>
      <c r="G23" s="875">
        <v>9.5</v>
      </c>
      <c r="H23" s="876">
        <f>SUM(G21:G23)</f>
        <v>49.4292829397</v>
      </c>
      <c r="I23" s="877"/>
      <c r="J23" s="878"/>
      <c r="K23" s="878"/>
      <c r="L23" s="878"/>
      <c r="M23" s="864"/>
    </row>
    <row r="24" spans="1:13" ht="14.25">
      <c r="A24" s="864"/>
      <c r="B24" s="761"/>
      <c r="C24" s="511"/>
      <c r="D24" s="513"/>
      <c r="E24" s="873"/>
      <c r="F24" s="762"/>
      <c r="G24" s="879"/>
      <c r="H24" s="880"/>
      <c r="I24" s="877"/>
      <c r="J24" s="878"/>
      <c r="K24" s="878"/>
      <c r="L24" s="878"/>
      <c r="M24" s="864"/>
    </row>
    <row r="25" spans="1:13" ht="15.75" thickBot="1">
      <c r="A25" s="864"/>
      <c r="B25" s="736"/>
      <c r="C25" s="755"/>
      <c r="D25" s="513"/>
      <c r="E25" s="798" t="s">
        <v>732</v>
      </c>
      <c r="F25" s="865"/>
      <c r="G25" s="882"/>
      <c r="H25" s="883">
        <f>SUM(H10:H24)</f>
        <v>83.2340087431</v>
      </c>
      <c r="I25" s="877"/>
      <c r="J25" s="878"/>
      <c r="K25" s="878"/>
      <c r="L25" s="878"/>
      <c r="M25" s="864"/>
    </row>
    <row r="26" spans="1:13" ht="13.5" thickBot="1">
      <c r="A26" s="864"/>
      <c r="B26" s="884"/>
      <c r="C26" s="885"/>
      <c r="D26" s="885"/>
      <c r="E26" s="885"/>
      <c r="F26" s="886"/>
      <c r="G26" s="887"/>
      <c r="H26" s="887"/>
      <c r="I26" s="888"/>
      <c r="J26" s="878"/>
      <c r="K26" s="878"/>
      <c r="L26" s="878"/>
      <c r="M26" s="864"/>
    </row>
    <row r="27" spans="1:13" ht="13.5" thickBot="1">
      <c r="A27" s="864"/>
      <c r="B27" s="865"/>
      <c r="C27" s="867"/>
      <c r="D27" s="864"/>
      <c r="E27" s="798"/>
      <c r="F27" s="865"/>
      <c r="G27" s="878"/>
      <c r="H27" s="878"/>
      <c r="I27" s="878"/>
      <c r="J27" s="878"/>
      <c r="K27" s="878"/>
      <c r="L27" s="878"/>
      <c r="M27" s="864"/>
    </row>
    <row r="28" spans="1:13" ht="12.75">
      <c r="A28" s="864"/>
      <c r="B28" s="866"/>
      <c r="C28" s="799" t="s">
        <v>733</v>
      </c>
      <c r="D28" s="867"/>
      <c r="E28" s="867"/>
      <c r="F28" s="889"/>
      <c r="G28" s="780"/>
      <c r="H28" s="890"/>
      <c r="I28" s="890"/>
      <c r="J28" s="890"/>
      <c r="K28" s="890"/>
      <c r="L28" s="890"/>
      <c r="M28" s="869"/>
    </row>
    <row r="29" spans="1:13" ht="13.5" thickBot="1">
      <c r="A29" s="864"/>
      <c r="B29" s="870"/>
      <c r="C29" s="864"/>
      <c r="D29" s="796" t="s">
        <v>734</v>
      </c>
      <c r="E29" s="796"/>
      <c r="F29" s="755"/>
      <c r="G29" s="763"/>
      <c r="H29" s="763"/>
      <c r="I29" s="878"/>
      <c r="J29" s="878"/>
      <c r="K29" s="878"/>
      <c r="L29" s="878"/>
      <c r="M29" s="871"/>
    </row>
    <row r="30" spans="1:13" ht="13.5" thickBot="1">
      <c r="A30" s="864"/>
      <c r="B30" s="891"/>
      <c r="C30" s="864"/>
      <c r="D30" s="762"/>
      <c r="E30" s="511" t="s">
        <v>735</v>
      </c>
      <c r="F30" s="762"/>
      <c r="G30" s="764" t="s">
        <v>656</v>
      </c>
      <c r="H30" s="514"/>
      <c r="I30" s="878"/>
      <c r="J30" s="878"/>
      <c r="K30" s="878"/>
      <c r="L30" s="878"/>
      <c r="M30" s="871"/>
    </row>
    <row r="31" spans="1:13" ht="14.25">
      <c r="A31" s="864"/>
      <c r="B31" s="891"/>
      <c r="C31" s="864"/>
      <c r="D31" s="762"/>
      <c r="E31" s="800" t="s">
        <v>736</v>
      </c>
      <c r="F31" s="864"/>
      <c r="G31" s="892"/>
      <c r="H31" s="514"/>
      <c r="I31" s="878"/>
      <c r="J31" s="878"/>
      <c r="K31" s="878"/>
      <c r="L31" s="878"/>
      <c r="M31" s="871"/>
    </row>
    <row r="32" spans="1:13" ht="14.25">
      <c r="A32" s="864"/>
      <c r="B32" s="891"/>
      <c r="C32" s="864"/>
      <c r="D32" s="762"/>
      <c r="E32" s="800" t="s">
        <v>737</v>
      </c>
      <c r="F32" s="864"/>
      <c r="G32" s="892">
        <v>-0.3482535</v>
      </c>
      <c r="H32" s="514"/>
      <c r="I32" s="878"/>
      <c r="J32" s="878"/>
      <c r="K32" s="878"/>
      <c r="L32" s="878"/>
      <c r="M32" s="871"/>
    </row>
    <row r="33" spans="1:13" ht="14.25">
      <c r="A33" s="755"/>
      <c r="B33" s="765"/>
      <c r="C33" s="755"/>
      <c r="D33" s="762"/>
      <c r="E33" s="800" t="s">
        <v>425</v>
      </c>
      <c r="F33" s="755"/>
      <c r="G33" s="892">
        <v>-0.07641612</v>
      </c>
      <c r="H33" s="514"/>
      <c r="I33" s="763"/>
      <c r="J33" s="763"/>
      <c r="K33" s="763"/>
      <c r="L33" s="763"/>
      <c r="M33" s="766"/>
    </row>
    <row r="34" spans="1:13" ht="15.75" thickBot="1">
      <c r="A34" s="755"/>
      <c r="B34" s="765"/>
      <c r="C34" s="755"/>
      <c r="D34" s="762"/>
      <c r="E34" s="801" t="s">
        <v>881</v>
      </c>
      <c r="F34" s="762"/>
      <c r="G34" s="893">
        <f>SUM(G31:G33)</f>
        <v>-0.42466961999999997</v>
      </c>
      <c r="H34" s="514"/>
      <c r="I34" s="763"/>
      <c r="J34" s="763"/>
      <c r="K34" s="763"/>
      <c r="L34" s="763"/>
      <c r="M34" s="766"/>
    </row>
    <row r="35" spans="1:13" ht="13.5" thickTop="1">
      <c r="A35" s="755"/>
      <c r="B35" s="765"/>
      <c r="C35" s="757"/>
      <c r="D35" s="762"/>
      <c r="E35" s="762"/>
      <c r="F35" s="762"/>
      <c r="G35" s="514"/>
      <c r="H35" s="514"/>
      <c r="I35" s="763"/>
      <c r="J35" s="763"/>
      <c r="K35" s="763"/>
      <c r="L35" s="763"/>
      <c r="M35" s="766"/>
    </row>
    <row r="36" spans="1:13" ht="38.25">
      <c r="A36" s="755"/>
      <c r="B36" s="736"/>
      <c r="C36" s="762"/>
      <c r="D36" s="762"/>
      <c r="E36" s="802" t="s">
        <v>771</v>
      </c>
      <c r="F36" s="755"/>
      <c r="G36" s="803" t="s">
        <v>843</v>
      </c>
      <c r="H36" s="803" t="s">
        <v>844</v>
      </c>
      <c r="I36" s="803" t="s">
        <v>845</v>
      </c>
      <c r="J36" s="803" t="s">
        <v>846</v>
      </c>
      <c r="K36" s="804" t="s">
        <v>573</v>
      </c>
      <c r="L36" s="805" t="s">
        <v>847</v>
      </c>
      <c r="M36" s="766"/>
    </row>
    <row r="37" spans="1:13" ht="12.75">
      <c r="A37" s="755"/>
      <c r="B37" s="736"/>
      <c r="C37" s="762"/>
      <c r="D37" s="762"/>
      <c r="E37" s="806" t="s">
        <v>848</v>
      </c>
      <c r="F37" s="755"/>
      <c r="G37" s="807" t="s">
        <v>849</v>
      </c>
      <c r="H37" s="807" t="s">
        <v>849</v>
      </c>
      <c r="I37" s="807" t="s">
        <v>849</v>
      </c>
      <c r="J37" s="807" t="s">
        <v>849</v>
      </c>
      <c r="K37" s="808" t="s">
        <v>849</v>
      </c>
      <c r="L37" s="807"/>
      <c r="M37" s="766"/>
    </row>
    <row r="38" spans="1:13" ht="14.25">
      <c r="A38" s="755"/>
      <c r="B38" s="736"/>
      <c r="C38" s="762"/>
      <c r="D38" s="762"/>
      <c r="E38" s="894" t="s">
        <v>884</v>
      </c>
      <c r="F38" s="755"/>
      <c r="G38" s="895">
        <v>0.51624533</v>
      </c>
      <c r="H38" s="895">
        <v>0.26987753000000003</v>
      </c>
      <c r="I38" s="896">
        <f aca="true" t="shared" si="0" ref="I38:I50">+G38-H38</f>
        <v>0.24636779999999991</v>
      </c>
      <c r="J38" s="895"/>
      <c r="K38" s="896">
        <f>+I38-J38</f>
        <v>0.24636779999999991</v>
      </c>
      <c r="L38" s="810"/>
      <c r="M38" s="766"/>
    </row>
    <row r="39" spans="1:13" ht="14.25">
      <c r="A39" s="755"/>
      <c r="B39" s="736"/>
      <c r="C39" s="762"/>
      <c r="D39" s="762"/>
      <c r="E39" s="894" t="s">
        <v>885</v>
      </c>
      <c r="F39" s="755"/>
      <c r="G39" s="895">
        <v>1.243688</v>
      </c>
      <c r="H39" s="895">
        <v>1.0488601000000002</v>
      </c>
      <c r="I39" s="896">
        <f t="shared" si="0"/>
        <v>0.19482789999999972</v>
      </c>
      <c r="J39" s="895"/>
      <c r="K39" s="896">
        <f aca="true" t="shared" si="1" ref="K39:K50">+I39-J39</f>
        <v>0.19482789999999972</v>
      </c>
      <c r="L39" s="809"/>
      <c r="M39" s="766"/>
    </row>
    <row r="40" spans="1:13" ht="14.25">
      <c r="A40" s="755"/>
      <c r="B40" s="736"/>
      <c r="C40" s="762"/>
      <c r="D40" s="762"/>
      <c r="E40" s="894" t="s">
        <v>483</v>
      </c>
      <c r="F40" s="755"/>
      <c r="G40" s="895">
        <v>0.42553903000000004</v>
      </c>
      <c r="H40" s="895">
        <v>0.42553903</v>
      </c>
      <c r="I40" s="896">
        <f t="shared" si="0"/>
        <v>0</v>
      </c>
      <c r="J40" s="895">
        <v>0.07641612</v>
      </c>
      <c r="K40" s="896">
        <f t="shared" si="1"/>
        <v>-0.07641612</v>
      </c>
      <c r="L40" s="809"/>
      <c r="M40" s="766"/>
    </row>
    <row r="41" spans="1:13" ht="14.25">
      <c r="A41" s="755"/>
      <c r="B41" s="736"/>
      <c r="C41" s="762"/>
      <c r="D41" s="762"/>
      <c r="E41" s="894" t="s">
        <v>660</v>
      </c>
      <c r="F41" s="755"/>
      <c r="G41" s="895"/>
      <c r="H41" s="895"/>
      <c r="I41" s="896">
        <f t="shared" si="0"/>
        <v>0</v>
      </c>
      <c r="J41" s="895">
        <v>0.3482535</v>
      </c>
      <c r="K41" s="896">
        <f t="shared" si="1"/>
        <v>-0.3482535</v>
      </c>
      <c r="L41" s="809"/>
      <c r="M41" s="766"/>
    </row>
    <row r="42" spans="1:13" ht="14.25">
      <c r="A42" s="755"/>
      <c r="B42" s="736"/>
      <c r="C42" s="762"/>
      <c r="D42" s="762"/>
      <c r="E42" s="894"/>
      <c r="F42" s="755"/>
      <c r="G42" s="895"/>
      <c r="H42" s="895"/>
      <c r="I42" s="896">
        <f t="shared" si="0"/>
        <v>0</v>
      </c>
      <c r="J42" s="895"/>
      <c r="K42" s="896">
        <f t="shared" si="1"/>
        <v>0</v>
      </c>
      <c r="L42" s="809"/>
      <c r="M42" s="766"/>
    </row>
    <row r="43" spans="1:13" ht="14.25">
      <c r="A43" s="755"/>
      <c r="B43" s="736"/>
      <c r="C43" s="762"/>
      <c r="D43" s="762"/>
      <c r="E43" s="894"/>
      <c r="F43" s="755"/>
      <c r="G43" s="895"/>
      <c r="H43" s="895"/>
      <c r="I43" s="896">
        <f t="shared" si="0"/>
        <v>0</v>
      </c>
      <c r="J43" s="895"/>
      <c r="K43" s="896">
        <f t="shared" si="1"/>
        <v>0</v>
      </c>
      <c r="L43" s="809"/>
      <c r="M43" s="766"/>
    </row>
    <row r="44" spans="1:13" ht="14.25">
      <c r="A44" s="755"/>
      <c r="B44" s="736"/>
      <c r="C44" s="762"/>
      <c r="D44" s="762"/>
      <c r="E44" s="894"/>
      <c r="F44" s="755"/>
      <c r="G44" s="895"/>
      <c r="H44" s="895"/>
      <c r="I44" s="896">
        <f t="shared" si="0"/>
        <v>0</v>
      </c>
      <c r="J44" s="895"/>
      <c r="K44" s="896">
        <f t="shared" si="1"/>
        <v>0</v>
      </c>
      <c r="L44" s="809"/>
      <c r="M44" s="766"/>
    </row>
    <row r="45" spans="1:13" ht="14.25">
      <c r="A45" s="755"/>
      <c r="B45" s="736"/>
      <c r="C45" s="762"/>
      <c r="D45" s="762"/>
      <c r="E45" s="894"/>
      <c r="F45" s="755"/>
      <c r="G45" s="895"/>
      <c r="H45" s="895"/>
      <c r="I45" s="896">
        <f t="shared" si="0"/>
        <v>0</v>
      </c>
      <c r="J45" s="895"/>
      <c r="K45" s="896">
        <f t="shared" si="1"/>
        <v>0</v>
      </c>
      <c r="L45" s="809"/>
      <c r="M45" s="766"/>
    </row>
    <row r="46" spans="1:13" ht="14.25">
      <c r="A46" s="755"/>
      <c r="B46" s="736"/>
      <c r="C46" s="762"/>
      <c r="D46" s="762"/>
      <c r="E46" s="894"/>
      <c r="F46" s="755"/>
      <c r="G46" s="895"/>
      <c r="H46" s="895"/>
      <c r="I46" s="896">
        <f t="shared" si="0"/>
        <v>0</v>
      </c>
      <c r="J46" s="895"/>
      <c r="K46" s="896">
        <f t="shared" si="1"/>
        <v>0</v>
      </c>
      <c r="L46" s="809"/>
      <c r="M46" s="766"/>
    </row>
    <row r="47" spans="1:13" ht="14.25">
      <c r="A47" s="755"/>
      <c r="B47" s="736"/>
      <c r="C47" s="762"/>
      <c r="D47" s="762"/>
      <c r="E47" s="894"/>
      <c r="F47" s="755"/>
      <c r="G47" s="895"/>
      <c r="H47" s="895"/>
      <c r="I47" s="896">
        <f t="shared" si="0"/>
        <v>0</v>
      </c>
      <c r="J47" s="895"/>
      <c r="K47" s="896">
        <f t="shared" si="1"/>
        <v>0</v>
      </c>
      <c r="L47" s="809"/>
      <c r="M47" s="766"/>
    </row>
    <row r="48" spans="1:13" ht="14.25">
      <c r="A48" s="755"/>
      <c r="B48" s="736"/>
      <c r="C48" s="762"/>
      <c r="D48" s="762"/>
      <c r="E48" s="894"/>
      <c r="F48" s="755"/>
      <c r="G48" s="895"/>
      <c r="H48" s="895"/>
      <c r="I48" s="896">
        <f t="shared" si="0"/>
        <v>0</v>
      </c>
      <c r="J48" s="895"/>
      <c r="K48" s="896">
        <f t="shared" si="1"/>
        <v>0</v>
      </c>
      <c r="L48" s="809"/>
      <c r="M48" s="766"/>
    </row>
    <row r="49" spans="1:13" ht="14.25">
      <c r="A49" s="755"/>
      <c r="B49" s="736"/>
      <c r="C49" s="762"/>
      <c r="D49" s="762"/>
      <c r="E49" s="894"/>
      <c r="F49" s="755"/>
      <c r="G49" s="895"/>
      <c r="H49" s="895"/>
      <c r="I49" s="896">
        <f t="shared" si="0"/>
        <v>0</v>
      </c>
      <c r="J49" s="895"/>
      <c r="K49" s="896">
        <f t="shared" si="1"/>
        <v>0</v>
      </c>
      <c r="L49" s="809"/>
      <c r="M49" s="766"/>
    </row>
    <row r="50" spans="1:13" ht="14.25">
      <c r="A50" s="755"/>
      <c r="B50" s="736"/>
      <c r="C50" s="762"/>
      <c r="D50" s="762"/>
      <c r="E50" s="894"/>
      <c r="F50" s="755"/>
      <c r="G50" s="895"/>
      <c r="H50" s="895"/>
      <c r="I50" s="896">
        <f t="shared" si="0"/>
        <v>0</v>
      </c>
      <c r="J50" s="895"/>
      <c r="K50" s="896">
        <f t="shared" si="1"/>
        <v>0</v>
      </c>
      <c r="L50" s="811"/>
      <c r="M50" s="766"/>
    </row>
    <row r="51" spans="1:13" ht="15">
      <c r="A51" s="755"/>
      <c r="B51" s="736"/>
      <c r="C51" s="762"/>
      <c r="D51" s="762"/>
      <c r="E51" s="897" t="s">
        <v>881</v>
      </c>
      <c r="F51" s="755"/>
      <c r="G51" s="898">
        <f>SUM(G38:G50)</f>
        <v>2.18547236</v>
      </c>
      <c r="H51" s="898">
        <f>SUM(H38:H50)</f>
        <v>1.7442766600000001</v>
      </c>
      <c r="I51" s="898">
        <f>SUM(I38:I50)</f>
        <v>0.44119569999999964</v>
      </c>
      <c r="J51" s="898">
        <f>SUM(J38:J50)</f>
        <v>0.42466961999999997</v>
      </c>
      <c r="K51" s="898">
        <f>SUM(K38:K50)</f>
        <v>0.016526079999999665</v>
      </c>
      <c r="L51" s="755"/>
      <c r="M51" s="766"/>
    </row>
    <row r="52" spans="1:13" ht="12.75">
      <c r="A52" s="755"/>
      <c r="B52" s="736"/>
      <c r="C52" s="762"/>
      <c r="D52" s="762"/>
      <c r="E52" s="762"/>
      <c r="F52" s="762"/>
      <c r="G52" s="755"/>
      <c r="H52" s="755"/>
      <c r="I52" s="755"/>
      <c r="J52" s="767" t="s">
        <v>484</v>
      </c>
      <c r="K52" s="767" t="s">
        <v>484</v>
      </c>
      <c r="L52" s="755"/>
      <c r="M52" s="766"/>
    </row>
    <row r="53" spans="1:13" ht="13.5" thickBot="1">
      <c r="A53" s="755"/>
      <c r="B53" s="736"/>
      <c r="C53" s="762"/>
      <c r="D53" s="762"/>
      <c r="E53" s="762"/>
      <c r="F53" s="762"/>
      <c r="G53" s="755"/>
      <c r="H53" s="755"/>
      <c r="I53" s="755"/>
      <c r="J53" s="755"/>
      <c r="K53" s="755"/>
      <c r="L53" s="755"/>
      <c r="M53" s="766"/>
    </row>
    <row r="54" spans="1:13" ht="13.5" thickBot="1">
      <c r="A54" s="755"/>
      <c r="B54" s="736"/>
      <c r="C54" s="812"/>
      <c r="D54" s="796" t="s">
        <v>485</v>
      </c>
      <c r="E54" s="775"/>
      <c r="F54" s="755"/>
      <c r="G54" s="764" t="s">
        <v>849</v>
      </c>
      <c r="H54" s="764" t="s">
        <v>849</v>
      </c>
      <c r="I54" s="755"/>
      <c r="J54" s="763"/>
      <c r="K54" s="763"/>
      <c r="L54" s="763"/>
      <c r="M54" s="768"/>
    </row>
    <row r="55" spans="1:13" ht="26.25" thickBot="1">
      <c r="A55" s="755"/>
      <c r="B55" s="736"/>
      <c r="C55" s="762"/>
      <c r="D55" s="755"/>
      <c r="E55" s="755"/>
      <c r="F55" s="755"/>
      <c r="G55" s="769"/>
      <c r="H55" s="770" t="s">
        <v>486</v>
      </c>
      <c r="I55" s="755"/>
      <c r="J55" s="763"/>
      <c r="K55" s="763"/>
      <c r="L55" s="763"/>
      <c r="M55" s="768"/>
    </row>
    <row r="56" spans="1:13" ht="14.25">
      <c r="A56" s="755"/>
      <c r="B56" s="736"/>
      <c r="C56" s="762"/>
      <c r="D56" s="755"/>
      <c r="E56" s="775" t="s">
        <v>347</v>
      </c>
      <c r="F56" s="755"/>
      <c r="G56" s="892"/>
      <c r="H56" s="899"/>
      <c r="I56" s="755"/>
      <c r="J56" s="763"/>
      <c r="K56" s="763"/>
      <c r="L56" s="763"/>
      <c r="M56" s="768"/>
    </row>
    <row r="57" spans="1:13" ht="15" thickBot="1">
      <c r="A57" s="755"/>
      <c r="B57" s="736"/>
      <c r="C57" s="762"/>
      <c r="D57" s="755"/>
      <c r="E57" s="775" t="s">
        <v>348</v>
      </c>
      <c r="F57" s="755"/>
      <c r="G57" s="892"/>
      <c r="H57" s="900"/>
      <c r="I57" s="755"/>
      <c r="J57" s="763"/>
      <c r="K57" s="763"/>
      <c r="L57" s="763"/>
      <c r="M57" s="768"/>
    </row>
    <row r="58" spans="1:13" ht="15.75" thickBot="1">
      <c r="A58" s="755"/>
      <c r="B58" s="736"/>
      <c r="C58" s="762"/>
      <c r="D58" s="762"/>
      <c r="E58" s="801" t="s">
        <v>349</v>
      </c>
      <c r="F58" s="755"/>
      <c r="G58" s="901">
        <f>SUM(G56:G57)</f>
        <v>0</v>
      </c>
      <c r="H58" s="763"/>
      <c r="I58" s="755"/>
      <c r="J58" s="763"/>
      <c r="K58" s="763"/>
      <c r="L58" s="763"/>
      <c r="M58" s="768"/>
    </row>
    <row r="59" spans="1:13" ht="14.25" thickBot="1" thickTop="1">
      <c r="A59" s="755"/>
      <c r="B59" s="736"/>
      <c r="C59" s="762"/>
      <c r="D59" s="762"/>
      <c r="E59" s="801"/>
      <c r="F59" s="755"/>
      <c r="G59" s="763"/>
      <c r="H59" s="763"/>
      <c r="I59" s="755"/>
      <c r="J59" s="763"/>
      <c r="K59" s="763"/>
      <c r="L59" s="763"/>
      <c r="M59" s="768"/>
    </row>
    <row r="60" spans="1:13" ht="66" customHeight="1" thickBot="1">
      <c r="A60" s="755"/>
      <c r="B60" s="736"/>
      <c r="C60" s="762"/>
      <c r="D60" s="1576" t="s">
        <v>602</v>
      </c>
      <c r="E60" s="1576"/>
      <c r="F60" s="755"/>
      <c r="G60" s="771" t="s">
        <v>881</v>
      </c>
      <c r="H60" s="772" t="s">
        <v>603</v>
      </c>
      <c r="I60" s="772" t="s">
        <v>604</v>
      </c>
      <c r="J60" s="772" t="s">
        <v>605</v>
      </c>
      <c r="K60" s="772" t="s">
        <v>606</v>
      </c>
      <c r="L60" s="763"/>
      <c r="M60" s="766"/>
    </row>
    <row r="61" spans="1:13" ht="13.5" thickBot="1">
      <c r="A61" s="755"/>
      <c r="B61" s="765"/>
      <c r="C61" s="757"/>
      <c r="D61" s="796"/>
      <c r="E61" s="499"/>
      <c r="F61" s="762"/>
      <c r="G61" s="764" t="s">
        <v>849</v>
      </c>
      <c r="H61" s="764" t="s">
        <v>849</v>
      </c>
      <c r="I61" s="764" t="s">
        <v>849</v>
      </c>
      <c r="J61" s="764" t="s">
        <v>849</v>
      </c>
      <c r="K61" s="764" t="s">
        <v>849</v>
      </c>
      <c r="L61" s="763"/>
      <c r="M61" s="766"/>
    </row>
    <row r="62" spans="1:13" ht="14.25">
      <c r="A62" s="755"/>
      <c r="B62" s="765"/>
      <c r="C62" s="757"/>
      <c r="D62" s="511"/>
      <c r="E62" s="499" t="s">
        <v>711</v>
      </c>
      <c r="F62" s="762"/>
      <c r="G62" s="902">
        <f>SUM(H62:K62)</f>
        <v>0</v>
      </c>
      <c r="H62" s="903"/>
      <c r="I62" s="904"/>
      <c r="J62" s="904"/>
      <c r="K62" s="905"/>
      <c r="L62" s="763"/>
      <c r="M62" s="766"/>
    </row>
    <row r="63" spans="1:13" ht="15" thickBot="1">
      <c r="A63" s="755"/>
      <c r="B63" s="765"/>
      <c r="C63" s="757"/>
      <c r="D63" s="511"/>
      <c r="E63" s="499" t="s">
        <v>894</v>
      </c>
      <c r="F63" s="762"/>
      <c r="G63" s="906">
        <f>SUM(H63:K63)</f>
        <v>0</v>
      </c>
      <c r="H63" s="907"/>
      <c r="I63" s="908"/>
      <c r="J63" s="908"/>
      <c r="K63" s="909"/>
      <c r="L63" s="763"/>
      <c r="M63" s="766"/>
    </row>
    <row r="64" spans="1:13" ht="13.5" thickBot="1">
      <c r="A64" s="755"/>
      <c r="B64" s="765"/>
      <c r="C64" s="757"/>
      <c r="D64" s="762"/>
      <c r="E64" s="762"/>
      <c r="F64" s="762"/>
      <c r="G64" s="514"/>
      <c r="H64" s="514"/>
      <c r="I64" s="763"/>
      <c r="J64" s="763"/>
      <c r="K64" s="763"/>
      <c r="L64" s="763"/>
      <c r="M64" s="766"/>
    </row>
    <row r="65" spans="1:13" ht="80.25" customHeight="1" thickBot="1">
      <c r="A65" s="755"/>
      <c r="B65" s="736"/>
      <c r="C65" s="762"/>
      <c r="D65" s="1576" t="s">
        <v>648</v>
      </c>
      <c r="E65" s="1576"/>
      <c r="F65" s="755"/>
      <c r="G65" s="773" t="s">
        <v>881</v>
      </c>
      <c r="H65" s="774" t="s">
        <v>632</v>
      </c>
      <c r="I65" s="774" t="s">
        <v>738</v>
      </c>
      <c r="J65" s="774" t="s">
        <v>739</v>
      </c>
      <c r="K65" s="774" t="s">
        <v>615</v>
      </c>
      <c r="L65" s="774" t="s">
        <v>616</v>
      </c>
      <c r="M65" s="766"/>
    </row>
    <row r="66" spans="1:13" ht="13.5" thickBot="1">
      <c r="A66" s="755"/>
      <c r="B66" s="736"/>
      <c r="C66" s="762"/>
      <c r="D66" s="775"/>
      <c r="E66" s="755"/>
      <c r="F66" s="755"/>
      <c r="G66" s="764" t="s">
        <v>849</v>
      </c>
      <c r="H66" s="764" t="s">
        <v>849</v>
      </c>
      <c r="I66" s="764" t="s">
        <v>849</v>
      </c>
      <c r="J66" s="764" t="s">
        <v>849</v>
      </c>
      <c r="K66" s="764" t="s">
        <v>849</v>
      </c>
      <c r="L66" s="764" t="s">
        <v>849</v>
      </c>
      <c r="M66" s="766"/>
    </row>
    <row r="67" spans="1:13" ht="14.25">
      <c r="A67" s="755"/>
      <c r="B67" s="736"/>
      <c r="C67" s="762"/>
      <c r="D67" s="775"/>
      <c r="E67" s="881" t="s">
        <v>617</v>
      </c>
      <c r="F67" s="755"/>
      <c r="G67" s="910">
        <f>SUM(H67:L67)</f>
        <v>0.364514</v>
      </c>
      <c r="H67" s="911">
        <v>0.201508</v>
      </c>
      <c r="I67" s="912">
        <v>0.054666000000000006</v>
      </c>
      <c r="J67" s="912">
        <v>0.10834</v>
      </c>
      <c r="K67" s="913"/>
      <c r="L67" s="914"/>
      <c r="M67" s="766"/>
    </row>
    <row r="68" spans="1:13" ht="14.25">
      <c r="A68" s="755"/>
      <c r="B68" s="736"/>
      <c r="C68" s="762"/>
      <c r="D68" s="755"/>
      <c r="E68" s="775" t="s">
        <v>600</v>
      </c>
      <c r="F68" s="755"/>
      <c r="G68" s="910">
        <f>SUM(H68:L68)</f>
        <v>0</v>
      </c>
      <c r="H68" s="911"/>
      <c r="I68" s="912"/>
      <c r="J68" s="912"/>
      <c r="K68" s="913"/>
      <c r="L68" s="914"/>
      <c r="M68" s="766"/>
    </row>
    <row r="69" spans="1:13" ht="14.25">
      <c r="A69" s="755"/>
      <c r="B69" s="736"/>
      <c r="C69" s="762"/>
      <c r="D69" s="755"/>
      <c r="E69" s="775" t="s">
        <v>454</v>
      </c>
      <c r="F69" s="755"/>
      <c r="G69" s="910">
        <f>SUM(H69:L69)</f>
        <v>0</v>
      </c>
      <c r="H69" s="911"/>
      <c r="I69" s="912"/>
      <c r="J69" s="912"/>
      <c r="K69" s="913"/>
      <c r="L69" s="914"/>
      <c r="M69" s="766"/>
    </row>
    <row r="70" spans="1:13" ht="14.25">
      <c r="A70" s="755"/>
      <c r="B70" s="736"/>
      <c r="C70" s="762"/>
      <c r="D70" s="755"/>
      <c r="E70" s="775" t="s">
        <v>455</v>
      </c>
      <c r="F70" s="755"/>
      <c r="G70" s="910">
        <f>SUM(H70:L70)</f>
        <v>0</v>
      </c>
      <c r="H70" s="915"/>
      <c r="I70" s="916"/>
      <c r="J70" s="916"/>
      <c r="K70" s="917"/>
      <c r="L70" s="918"/>
      <c r="M70" s="766"/>
    </row>
    <row r="71" spans="1:13" ht="15.75" thickBot="1">
      <c r="A71" s="755"/>
      <c r="B71" s="736"/>
      <c r="C71" s="762"/>
      <c r="D71" s="762"/>
      <c r="E71" s="801" t="s">
        <v>456</v>
      </c>
      <c r="F71" s="755"/>
      <c r="G71" s="919">
        <f aca="true" t="shared" si="2" ref="G71:L71">SUM(G67:G70)</f>
        <v>0.364514</v>
      </c>
      <c r="H71" s="919">
        <f t="shared" si="2"/>
        <v>0.201508</v>
      </c>
      <c r="I71" s="919">
        <f t="shared" si="2"/>
        <v>0.054666000000000006</v>
      </c>
      <c r="J71" s="919">
        <f t="shared" si="2"/>
        <v>0.10834</v>
      </c>
      <c r="K71" s="919">
        <f t="shared" si="2"/>
        <v>0</v>
      </c>
      <c r="L71" s="919">
        <f t="shared" si="2"/>
        <v>0</v>
      </c>
      <c r="M71" s="766"/>
    </row>
    <row r="72" spans="1:13" ht="13.5" thickBot="1">
      <c r="A72" s="755"/>
      <c r="B72" s="776"/>
      <c r="C72" s="777"/>
      <c r="D72" s="777"/>
      <c r="E72" s="813"/>
      <c r="F72" s="778"/>
      <c r="G72" s="813"/>
      <c r="H72" s="814"/>
      <c r="I72" s="815"/>
      <c r="J72" s="815"/>
      <c r="K72" s="815"/>
      <c r="L72" s="815"/>
      <c r="M72" s="816"/>
    </row>
    <row r="73" spans="1:13" ht="13.5" thickBot="1">
      <c r="A73" s="755"/>
      <c r="B73" s="755"/>
      <c r="C73" s="778"/>
      <c r="D73" s="755"/>
      <c r="E73" s="755"/>
      <c r="F73" s="755"/>
      <c r="G73" s="763"/>
      <c r="H73" s="763"/>
      <c r="I73" s="763"/>
      <c r="J73" s="763"/>
      <c r="K73" s="763"/>
      <c r="L73" s="763"/>
      <c r="M73" s="755"/>
    </row>
    <row r="74" spans="1:13" ht="12.75">
      <c r="A74" s="755"/>
      <c r="B74" s="866"/>
      <c r="C74" s="796" t="s">
        <v>457</v>
      </c>
      <c r="D74" s="867"/>
      <c r="E74" s="779"/>
      <c r="F74" s="867"/>
      <c r="G74" s="890"/>
      <c r="H74" s="890"/>
      <c r="I74" s="780"/>
      <c r="J74" s="780"/>
      <c r="K74" s="780"/>
      <c r="L74" s="780"/>
      <c r="M74" s="781"/>
    </row>
    <row r="75" spans="1:13" ht="13.5" thickBot="1">
      <c r="A75" s="755"/>
      <c r="B75" s="870"/>
      <c r="C75" s="812"/>
      <c r="D75" s="864"/>
      <c r="E75" s="782"/>
      <c r="F75" s="864"/>
      <c r="G75" s="878"/>
      <c r="H75" s="878"/>
      <c r="I75" s="763"/>
      <c r="J75" s="763"/>
      <c r="K75" s="763"/>
      <c r="L75" s="763"/>
      <c r="M75" s="766"/>
    </row>
    <row r="76" spans="1:13" ht="80.25" customHeight="1" thickBot="1">
      <c r="A76" s="755"/>
      <c r="B76" s="736"/>
      <c r="C76" s="762"/>
      <c r="D76" s="1576" t="s">
        <v>601</v>
      </c>
      <c r="E76" s="1576"/>
      <c r="F76" s="755"/>
      <c r="G76" s="773" t="s">
        <v>881</v>
      </c>
      <c r="H76" s="774" t="s">
        <v>632</v>
      </c>
      <c r="I76" s="774" t="s">
        <v>738</v>
      </c>
      <c r="J76" s="774" t="s">
        <v>739</v>
      </c>
      <c r="K76" s="774" t="s">
        <v>615</v>
      </c>
      <c r="L76" s="774" t="s">
        <v>616</v>
      </c>
      <c r="M76" s="766"/>
    </row>
    <row r="77" spans="1:13" ht="13.5" thickBot="1">
      <c r="A77" s="755"/>
      <c r="B77" s="736"/>
      <c r="C77" s="762"/>
      <c r="D77" s="775"/>
      <c r="E77" s="755"/>
      <c r="F77" s="755"/>
      <c r="G77" s="764" t="s">
        <v>849</v>
      </c>
      <c r="H77" s="764" t="s">
        <v>849</v>
      </c>
      <c r="I77" s="764" t="s">
        <v>849</v>
      </c>
      <c r="J77" s="764" t="s">
        <v>849</v>
      </c>
      <c r="K77" s="764" t="s">
        <v>849</v>
      </c>
      <c r="L77" s="764" t="s">
        <v>849</v>
      </c>
      <c r="M77" s="766"/>
    </row>
    <row r="78" spans="1:13" ht="14.25">
      <c r="A78" s="755"/>
      <c r="B78" s="736"/>
      <c r="C78" s="762"/>
      <c r="D78" s="755"/>
      <c r="E78" s="775" t="s">
        <v>600</v>
      </c>
      <c r="F78" s="755"/>
      <c r="G78" s="920">
        <f>SUM(H78:L78)</f>
        <v>0</v>
      </c>
      <c r="H78" s="921"/>
      <c r="I78" s="922"/>
      <c r="J78" s="922"/>
      <c r="K78" s="923"/>
      <c r="L78" s="924"/>
      <c r="M78" s="766"/>
    </row>
    <row r="79" spans="1:13" ht="14.25">
      <c r="A79" s="755"/>
      <c r="B79" s="736"/>
      <c r="C79" s="762"/>
      <c r="D79" s="755"/>
      <c r="E79" s="775" t="s">
        <v>454</v>
      </c>
      <c r="F79" s="755"/>
      <c r="G79" s="920">
        <f>SUM(H79:L79)</f>
        <v>0</v>
      </c>
      <c r="H79" s="921"/>
      <c r="I79" s="922"/>
      <c r="J79" s="922"/>
      <c r="K79" s="923"/>
      <c r="L79" s="924"/>
      <c r="M79" s="766"/>
    </row>
    <row r="80" spans="1:13" ht="14.25">
      <c r="A80" s="755"/>
      <c r="B80" s="736"/>
      <c r="C80" s="762"/>
      <c r="D80" s="755"/>
      <c r="E80" s="775" t="s">
        <v>455</v>
      </c>
      <c r="F80" s="755"/>
      <c r="G80" s="920">
        <f>SUM(H80:L80)</f>
        <v>0</v>
      </c>
      <c r="H80" s="925"/>
      <c r="I80" s="926"/>
      <c r="J80" s="926"/>
      <c r="K80" s="927"/>
      <c r="L80" s="928"/>
      <c r="M80" s="766"/>
    </row>
    <row r="81" spans="1:13" ht="15.75" thickBot="1">
      <c r="A81" s="755"/>
      <c r="B81" s="736"/>
      <c r="C81" s="762"/>
      <c r="D81" s="762"/>
      <c r="E81" s="801" t="s">
        <v>881</v>
      </c>
      <c r="F81" s="755"/>
      <c r="G81" s="929">
        <f aca="true" t="shared" si="3" ref="G81:L81">SUM(G78:G80)</f>
        <v>0</v>
      </c>
      <c r="H81" s="929">
        <f t="shared" si="3"/>
        <v>0</v>
      </c>
      <c r="I81" s="929">
        <f t="shared" si="3"/>
        <v>0</v>
      </c>
      <c r="J81" s="929">
        <f t="shared" si="3"/>
        <v>0</v>
      </c>
      <c r="K81" s="929">
        <f t="shared" si="3"/>
        <v>0</v>
      </c>
      <c r="L81" s="929">
        <f t="shared" si="3"/>
        <v>0</v>
      </c>
      <c r="M81" s="766"/>
    </row>
    <row r="82" spans="1:13" ht="13.5" thickBot="1">
      <c r="A82" s="755"/>
      <c r="B82" s="736"/>
      <c r="C82" s="762"/>
      <c r="D82" s="762"/>
      <c r="E82" s="783"/>
      <c r="F82" s="755"/>
      <c r="G82" s="784"/>
      <c r="H82" s="784"/>
      <c r="I82" s="763"/>
      <c r="J82" s="763"/>
      <c r="K82" s="763"/>
      <c r="L82" s="763"/>
      <c r="M82" s="766"/>
    </row>
    <row r="83" spans="1:13" ht="15" thickBot="1">
      <c r="A83" s="755"/>
      <c r="B83" s="736"/>
      <c r="C83" s="762"/>
      <c r="D83" s="817" t="s">
        <v>908</v>
      </c>
      <c r="E83" s="755"/>
      <c r="F83" s="755"/>
      <c r="G83" s="930">
        <f>SUM(H83:L83)</f>
        <v>0</v>
      </c>
      <c r="H83" s="931"/>
      <c r="I83" s="932"/>
      <c r="J83" s="931"/>
      <c r="K83" s="933"/>
      <c r="L83" s="934"/>
      <c r="M83" s="766"/>
    </row>
    <row r="84" spans="1:13" ht="13.5" thickBot="1">
      <c r="A84" s="755"/>
      <c r="B84" s="776"/>
      <c r="C84" s="777"/>
      <c r="D84" s="777"/>
      <c r="E84" s="818"/>
      <c r="F84" s="778"/>
      <c r="G84" s="785"/>
      <c r="H84" s="786"/>
      <c r="I84" s="785"/>
      <c r="J84" s="785"/>
      <c r="K84" s="785"/>
      <c r="L84" s="785"/>
      <c r="M84" s="787"/>
    </row>
    <row r="85" spans="1:13" ht="13.5" thickBot="1">
      <c r="A85" s="775"/>
      <c r="B85" s="775"/>
      <c r="C85" s="769"/>
      <c r="D85" s="762"/>
      <c r="E85" s="775"/>
      <c r="F85" s="755"/>
      <c r="G85" s="763"/>
      <c r="H85" s="784"/>
      <c r="I85" s="763"/>
      <c r="J85" s="763"/>
      <c r="K85" s="763"/>
      <c r="L85" s="763"/>
      <c r="M85" s="755"/>
    </row>
    <row r="86" spans="1:13" ht="13.5" thickBot="1">
      <c r="A86" s="755"/>
      <c r="B86" s="788"/>
      <c r="C86" s="799" t="s">
        <v>893</v>
      </c>
      <c r="D86" s="789"/>
      <c r="E86" s="819"/>
      <c r="F86" s="790"/>
      <c r="G86" s="791"/>
      <c r="H86" s="791"/>
      <c r="I86" s="792"/>
      <c r="J86" s="763"/>
      <c r="K86" s="763"/>
      <c r="L86" s="763"/>
      <c r="M86" s="755"/>
    </row>
    <row r="87" spans="1:13" ht="13.5" thickBot="1">
      <c r="A87" s="755"/>
      <c r="B87" s="736"/>
      <c r="C87" s="762"/>
      <c r="D87" s="762"/>
      <c r="E87" s="801"/>
      <c r="F87" s="755"/>
      <c r="G87" s="764" t="s">
        <v>849</v>
      </c>
      <c r="H87" s="784"/>
      <c r="I87" s="768"/>
      <c r="J87" s="763"/>
      <c r="K87" s="763"/>
      <c r="L87" s="763"/>
      <c r="M87" s="755"/>
    </row>
    <row r="88" spans="1:13" ht="15" thickBot="1">
      <c r="A88" s="755"/>
      <c r="B88" s="736"/>
      <c r="C88" s="762"/>
      <c r="D88" s="796" t="s">
        <v>397</v>
      </c>
      <c r="E88" s="801"/>
      <c r="F88" s="755"/>
      <c r="G88" s="935"/>
      <c r="H88" s="763"/>
      <c r="I88" s="768"/>
      <c r="J88" s="763"/>
      <c r="K88" s="763"/>
      <c r="L88" s="763"/>
      <c r="M88" s="755"/>
    </row>
    <row r="89" spans="1:13" ht="15" thickBot="1">
      <c r="A89" s="755"/>
      <c r="B89" s="736"/>
      <c r="C89" s="762"/>
      <c r="D89" s="796" t="s">
        <v>17</v>
      </c>
      <c r="E89" s="801"/>
      <c r="F89" s="755"/>
      <c r="G89" s="935"/>
      <c r="H89" s="763"/>
      <c r="I89" s="768"/>
      <c r="J89" s="763"/>
      <c r="K89" s="763"/>
      <c r="L89" s="763"/>
      <c r="M89" s="755"/>
    </row>
    <row r="90" spans="1:13" ht="13.5" thickBot="1">
      <c r="A90" s="755"/>
      <c r="B90" s="736"/>
      <c r="C90" s="762"/>
      <c r="D90" s="762"/>
      <c r="E90" s="783"/>
      <c r="F90" s="755"/>
      <c r="G90" s="763"/>
      <c r="H90" s="763"/>
      <c r="I90" s="768"/>
      <c r="J90" s="763"/>
      <c r="K90" s="763"/>
      <c r="L90" s="763"/>
      <c r="M90" s="755"/>
    </row>
    <row r="91" spans="1:13" ht="13.5" thickBot="1">
      <c r="A91" s="755"/>
      <c r="B91" s="736"/>
      <c r="C91" s="762"/>
      <c r="D91" s="762"/>
      <c r="E91" s="817"/>
      <c r="F91" s="755"/>
      <c r="G91" s="764" t="s">
        <v>849</v>
      </c>
      <c r="H91" s="764" t="s">
        <v>18</v>
      </c>
      <c r="I91" s="793"/>
      <c r="J91" s="794"/>
      <c r="K91" s="794"/>
      <c r="L91" s="763"/>
      <c r="M91" s="755"/>
    </row>
    <row r="92" spans="1:13" ht="15" thickBot="1">
      <c r="A92" s="755"/>
      <c r="B92" s="736"/>
      <c r="C92" s="762"/>
      <c r="D92" s="796" t="s">
        <v>816</v>
      </c>
      <c r="E92" s="755"/>
      <c r="F92" s="755"/>
      <c r="G92" s="936"/>
      <c r="H92" s="937"/>
      <c r="I92" s="820"/>
      <c r="J92" s="821"/>
      <c r="K92" s="821"/>
      <c r="L92" s="763"/>
      <c r="M92" s="755"/>
    </row>
    <row r="93" spans="1:13" ht="14.25" thickBot="1" thickTop="1">
      <c r="A93" s="755"/>
      <c r="B93" s="765"/>
      <c r="C93" s="755"/>
      <c r="D93" s="822"/>
      <c r="E93" s="755"/>
      <c r="F93" s="755"/>
      <c r="G93" s="755"/>
      <c r="H93" s="755"/>
      <c r="I93" s="820"/>
      <c r="J93" s="823"/>
      <c r="K93" s="823"/>
      <c r="L93" s="763"/>
      <c r="M93" s="755"/>
    </row>
    <row r="94" spans="1:13" ht="13.5" thickBot="1">
      <c r="A94" s="755"/>
      <c r="B94" s="736"/>
      <c r="C94" s="762"/>
      <c r="D94" s="796" t="s">
        <v>817</v>
      </c>
      <c r="E94" s="755"/>
      <c r="F94" s="755"/>
      <c r="G94" s="764" t="s">
        <v>849</v>
      </c>
      <c r="H94" s="764" t="s">
        <v>18</v>
      </c>
      <c r="I94" s="824"/>
      <c r="J94" s="823"/>
      <c r="K94" s="823"/>
      <c r="L94" s="763"/>
      <c r="M94" s="755"/>
    </row>
    <row r="95" spans="1:13" ht="14.25">
      <c r="A95" s="755"/>
      <c r="B95" s="736"/>
      <c r="C95" s="762"/>
      <c r="D95" s="755"/>
      <c r="E95" s="775" t="s">
        <v>875</v>
      </c>
      <c r="F95" s="755"/>
      <c r="G95" s="892"/>
      <c r="H95" s="892"/>
      <c r="I95" s="820"/>
      <c r="J95" s="821"/>
      <c r="K95" s="821"/>
      <c r="L95" s="763"/>
      <c r="M95" s="755"/>
    </row>
    <row r="96" spans="1:13" ht="14.25">
      <c r="A96" s="755"/>
      <c r="B96" s="736"/>
      <c r="C96" s="762"/>
      <c r="D96" s="755"/>
      <c r="E96" s="775" t="s">
        <v>874</v>
      </c>
      <c r="F96" s="755"/>
      <c r="G96" s="892"/>
      <c r="H96" s="892"/>
      <c r="I96" s="820"/>
      <c r="J96" s="821"/>
      <c r="K96" s="821"/>
      <c r="L96" s="763"/>
      <c r="M96" s="755"/>
    </row>
    <row r="97" spans="1:13" ht="15" thickBot="1">
      <c r="A97" s="755"/>
      <c r="B97" s="736"/>
      <c r="C97" s="762"/>
      <c r="D97" s="755"/>
      <c r="E97" s="775" t="s">
        <v>818</v>
      </c>
      <c r="F97" s="755"/>
      <c r="G97" s="892"/>
      <c r="H97" s="900"/>
      <c r="I97" s="820"/>
      <c r="J97" s="821"/>
      <c r="K97" s="821"/>
      <c r="L97" s="763"/>
      <c r="M97" s="755"/>
    </row>
    <row r="98" spans="1:13" ht="14.25">
      <c r="A98" s="755"/>
      <c r="B98" s="736"/>
      <c r="C98" s="762"/>
      <c r="D98" s="755"/>
      <c r="E98" s="775" t="s">
        <v>719</v>
      </c>
      <c r="F98" s="755"/>
      <c r="G98" s="938"/>
      <c r="H98" s="939"/>
      <c r="I98" s="820"/>
      <c r="J98" s="821"/>
      <c r="K98" s="823"/>
      <c r="L98" s="763"/>
      <c r="M98" s="755"/>
    </row>
    <row r="99" spans="1:13" ht="15.75" thickBot="1">
      <c r="A99" s="755"/>
      <c r="B99" s="736"/>
      <c r="C99" s="762"/>
      <c r="D99" s="762"/>
      <c r="E99" s="798" t="s">
        <v>19</v>
      </c>
      <c r="F99" s="755"/>
      <c r="G99" s="901">
        <f>SUM(G95:G98)</f>
        <v>0</v>
      </c>
      <c r="H99" s="901">
        <f>SUM(H95:H98)</f>
        <v>0</v>
      </c>
      <c r="I99" s="825"/>
      <c r="J99" s="512"/>
      <c r="K99" s="512"/>
      <c r="L99" s="763"/>
      <c r="M99" s="755"/>
    </row>
    <row r="100" spans="1:13" ht="14.25" thickBot="1" thickTop="1">
      <c r="A100" s="755"/>
      <c r="B100" s="776"/>
      <c r="C100" s="777"/>
      <c r="D100" s="777"/>
      <c r="E100" s="777"/>
      <c r="F100" s="777"/>
      <c r="G100" s="778"/>
      <c r="H100" s="778"/>
      <c r="I100" s="787"/>
      <c r="J100" s="755"/>
      <c r="K100" s="755"/>
      <c r="L100" s="755"/>
      <c r="M100" s="755"/>
    </row>
    <row r="101" spans="1:13" ht="12.75">
      <c r="A101" s="755"/>
      <c r="B101" s="624"/>
      <c r="C101" s="624"/>
      <c r="D101" s="624"/>
      <c r="E101" s="624"/>
      <c r="F101" s="624"/>
      <c r="G101" s="755"/>
      <c r="H101" s="755"/>
      <c r="I101" s="755"/>
      <c r="J101" s="755"/>
      <c r="K101" s="755"/>
      <c r="L101" s="755"/>
      <c r="M101" s="755"/>
    </row>
  </sheetData>
  <sheetProtection/>
  <mergeCells count="3">
    <mergeCell ref="D60:E60"/>
    <mergeCell ref="D65:E65"/>
    <mergeCell ref="D76:E76"/>
  </mergeCells>
  <dataValidations count="2">
    <dataValidation type="decimal" operator="greaterThanOrEqual" allowBlank="1" showInputMessage="1" showErrorMessage="1" sqref="J38:J50 G38:H50 H57 G56:H56 H63:K63 G88:G89">
      <formula1>0</formula1>
    </dataValidation>
    <dataValidation type="decimal" operator="lessThanOrEqual" allowBlank="1" showInputMessage="1" showErrorMessage="1" sqref="G31:G33 G57 H62:K62">
      <formula1>0</formula1>
    </dataValidation>
  </dataValidation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4">
      <selection activeCell="S65" sqref="S65"/>
    </sheetView>
  </sheetViews>
  <sheetFormatPr defaultColWidth="11.42187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1347" customFormat="1" ht="12.75">
      <c r="A1" s="1347" t="s">
        <v>394</v>
      </c>
    </row>
    <row r="2" ht="12.75">
      <c r="B2" s="857" t="s">
        <v>55</v>
      </c>
    </row>
    <row r="3" spans="1:50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62"/>
      <c r="Q3" s="162"/>
      <c r="R3" s="162"/>
      <c r="S3" s="162"/>
      <c r="T3" s="162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4" spans="1:30" ht="12.75">
      <c r="A4" s="70"/>
      <c r="B4" s="70"/>
      <c r="C4" s="1348" t="s">
        <v>581</v>
      </c>
      <c r="D4" s="1348"/>
      <c r="E4" s="1348"/>
      <c r="F4" s="1348"/>
      <c r="G4" s="1348"/>
      <c r="H4" s="1348"/>
      <c r="I4" s="1348"/>
      <c r="J4" s="1348"/>
      <c r="K4" s="1348"/>
      <c r="L4" s="1348"/>
      <c r="M4" s="1348" t="s">
        <v>582</v>
      </c>
      <c r="N4" s="1348"/>
      <c r="O4" s="1348"/>
      <c r="P4" s="1348"/>
      <c r="Q4" s="1348"/>
      <c r="R4" s="1348"/>
      <c r="S4" s="1348"/>
      <c r="T4" s="1348"/>
      <c r="U4" s="1348"/>
      <c r="V4" s="70"/>
      <c r="W4" s="70"/>
      <c r="X4" s="70"/>
      <c r="Y4" s="70"/>
      <c r="Z4" s="70"/>
      <c r="AA4" s="70"/>
      <c r="AB4" s="70"/>
      <c r="AC4" s="70"/>
      <c r="AD4" s="70"/>
    </row>
    <row r="5" spans="1:30" ht="12.75">
      <c r="A5" s="70"/>
      <c r="B5" s="70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  <c r="R5" s="1348"/>
      <c r="S5" s="1348"/>
      <c r="T5" s="1348"/>
      <c r="U5" s="1348"/>
      <c r="V5" s="70"/>
      <c r="W5" s="70"/>
      <c r="X5" s="70"/>
      <c r="Y5" s="70"/>
      <c r="Z5" s="70"/>
      <c r="AA5" s="70"/>
      <c r="AB5" s="70"/>
      <c r="AC5" s="70"/>
      <c r="AD5" s="70"/>
    </row>
    <row r="6" spans="1:30" ht="12.75">
      <c r="A6" s="70"/>
      <c r="B6" s="70"/>
      <c r="C6" s="1348"/>
      <c r="D6" s="1348"/>
      <c r="E6" s="1348" t="s">
        <v>532</v>
      </c>
      <c r="F6" s="1348" t="s">
        <v>533</v>
      </c>
      <c r="G6" s="1348"/>
      <c r="H6" s="1348" t="s">
        <v>529</v>
      </c>
      <c r="I6" s="1348" t="s">
        <v>534</v>
      </c>
      <c r="J6" s="1348" t="s">
        <v>535</v>
      </c>
      <c r="K6" s="1348"/>
      <c r="L6" s="1348"/>
      <c r="M6" s="1348"/>
      <c r="N6" s="1348"/>
      <c r="O6" s="1348"/>
      <c r="P6" s="1348" t="s">
        <v>532</v>
      </c>
      <c r="Q6" s="1348" t="s">
        <v>533</v>
      </c>
      <c r="R6" s="1348" t="s">
        <v>529</v>
      </c>
      <c r="S6" s="1348" t="s">
        <v>534</v>
      </c>
      <c r="T6" s="1348" t="s">
        <v>535</v>
      </c>
      <c r="U6" s="1348"/>
      <c r="V6" s="70"/>
      <c r="W6" s="70"/>
      <c r="X6" s="70"/>
      <c r="Y6" s="70"/>
      <c r="Z6" s="70"/>
      <c r="AA6" s="70"/>
      <c r="AB6" s="70"/>
      <c r="AC6" s="70"/>
      <c r="AD6" s="70"/>
    </row>
    <row r="7" spans="1:30" ht="12.75">
      <c r="A7" s="70"/>
      <c r="B7" s="70"/>
      <c r="C7" s="1348"/>
      <c r="D7" s="1348"/>
      <c r="E7" s="1349"/>
      <c r="F7" s="1349"/>
      <c r="G7" s="1349"/>
      <c r="H7" s="1349"/>
      <c r="I7" s="1349"/>
      <c r="J7" s="1349"/>
      <c r="K7" s="1349"/>
      <c r="L7" s="1348"/>
      <c r="M7" s="1348" t="s">
        <v>445</v>
      </c>
      <c r="N7" s="1348"/>
      <c r="O7" s="1348"/>
      <c r="P7" s="1350">
        <f>'Allowed revenue -DPCR4'!D3</f>
        <v>947.9</v>
      </c>
      <c r="Q7" s="1350">
        <f>'Allowed revenue -DPCR4'!E3</f>
        <v>989.2</v>
      </c>
      <c r="R7" s="1350">
        <f>'Allowed revenue -DPCR4'!F3</f>
        <v>1030.2</v>
      </c>
      <c r="S7" s="1350">
        <f>'Allowed revenue -DPCR4'!G3</f>
        <v>1064.8</v>
      </c>
      <c r="T7" s="1350">
        <f>'Allowed revenue -DPCR4'!H3</f>
        <v>1093.2</v>
      </c>
      <c r="U7" s="1348"/>
      <c r="V7" s="70"/>
      <c r="W7" s="70"/>
      <c r="X7" s="70"/>
      <c r="Y7" s="70"/>
      <c r="Z7" s="70"/>
      <c r="AA7" s="70"/>
      <c r="AB7" s="70"/>
      <c r="AC7" s="70"/>
      <c r="AD7" s="70"/>
    </row>
    <row r="8" spans="1:30" ht="12.75">
      <c r="A8" s="70"/>
      <c r="B8" s="70"/>
      <c r="C8" s="1348" t="s">
        <v>446</v>
      </c>
      <c r="D8" s="1348"/>
      <c r="E8" s="1351">
        <f>P33</f>
        <v>241.2388085036254</v>
      </c>
      <c r="F8" s="1351">
        <f>Q33</f>
        <v>243.409957780158</v>
      </c>
      <c r="G8" s="1351"/>
      <c r="H8" s="1351">
        <f>R33</f>
        <v>246.0635846736979</v>
      </c>
      <c r="I8" s="1351">
        <f>S33</f>
        <v>249.19968918424502</v>
      </c>
      <c r="J8" s="1351">
        <f>T33</f>
        <v>251.8533160777849</v>
      </c>
      <c r="K8" s="1349"/>
      <c r="L8" s="1348"/>
      <c r="M8" s="1348" t="s">
        <v>447</v>
      </c>
      <c r="N8" s="1348"/>
      <c r="O8" s="1348"/>
      <c r="P8" s="1350">
        <f>'Allowed revenue -DPCR4'!D4</f>
        <v>117.8</v>
      </c>
      <c r="Q8" s="1350">
        <f>'Allowed revenue -DPCR4'!E4</f>
        <v>117.5</v>
      </c>
      <c r="R8" s="1350">
        <f>'Allowed revenue -DPCR4'!F4</f>
        <v>117</v>
      </c>
      <c r="S8" s="1350">
        <f>'Allowed revenue -DPCR4'!G4</f>
        <v>116.6</v>
      </c>
      <c r="T8" s="1350">
        <f>'Allowed revenue -DPCR4'!H4</f>
        <v>116.4</v>
      </c>
      <c r="U8" s="1349"/>
      <c r="V8" s="70"/>
      <c r="W8" s="70"/>
      <c r="X8" s="70"/>
      <c r="Y8" s="70"/>
      <c r="Z8" s="70"/>
      <c r="AA8" s="70"/>
      <c r="AB8" s="70"/>
      <c r="AC8" s="70"/>
      <c r="AD8" s="70"/>
    </row>
    <row r="9" spans="1:30" ht="12.75">
      <c r="A9" s="70"/>
      <c r="B9" s="70"/>
      <c r="C9" s="1348"/>
      <c r="D9" s="1348"/>
      <c r="E9" s="1352"/>
      <c r="F9" s="1352"/>
      <c r="G9" s="1352"/>
      <c r="H9" s="1352"/>
      <c r="I9" s="1352"/>
      <c r="J9" s="1352"/>
      <c r="K9" s="1348"/>
      <c r="L9" s="1348"/>
      <c r="M9" s="1348" t="s">
        <v>139</v>
      </c>
      <c r="N9" s="1348"/>
      <c r="O9" s="1348"/>
      <c r="P9" s="1350">
        <f>'Allowed revenue -DPCR4'!D5</f>
        <v>-76.5</v>
      </c>
      <c r="Q9" s="1350">
        <f>'Allowed revenue -DPCR4'!E5</f>
        <v>-76.5</v>
      </c>
      <c r="R9" s="1350">
        <f>'Allowed revenue -DPCR4'!F5</f>
        <v>-82.4</v>
      </c>
      <c r="S9" s="1350">
        <f>'Allowed revenue -DPCR4'!G5</f>
        <v>-88.2</v>
      </c>
      <c r="T9" s="1350">
        <f>'Allowed revenue -DPCR4'!H5</f>
        <v>-94.1</v>
      </c>
      <c r="U9" s="1349"/>
      <c r="V9" s="70"/>
      <c r="W9" s="70"/>
      <c r="X9" s="70"/>
      <c r="Y9" s="70"/>
      <c r="Z9" s="70"/>
      <c r="AA9" s="70"/>
      <c r="AB9" s="70"/>
      <c r="AC9" s="70"/>
      <c r="AD9" s="70"/>
    </row>
    <row r="10" spans="1:30" ht="12.75">
      <c r="A10" s="70"/>
      <c r="B10" s="70"/>
      <c r="C10" s="1348" t="s">
        <v>145</v>
      </c>
      <c r="D10" s="1348"/>
      <c r="E10" s="1352">
        <f>P14+(1-0.577)*P16</f>
        <v>80.699</v>
      </c>
      <c r="F10" s="1352">
        <f>Q14+(1-0.577)*Q16</f>
        <v>83.24130000000001</v>
      </c>
      <c r="G10" s="1352"/>
      <c r="H10" s="1352">
        <f>R14+(1-0.577)*R16</f>
        <v>83.74130000000001</v>
      </c>
      <c r="I10" s="1352">
        <f>S14+(1-0.577)*S16</f>
        <v>82.44130000000001</v>
      </c>
      <c r="J10" s="1352">
        <f>T14+(1-0.577)*T16</f>
        <v>81.74130000000001</v>
      </c>
      <c r="K10" s="1348"/>
      <c r="L10" s="1348"/>
      <c r="M10" s="1348" t="s">
        <v>146</v>
      </c>
      <c r="N10" s="1348"/>
      <c r="O10" s="1348"/>
      <c r="P10" s="1350">
        <f>'Allowed revenue -DPCR4'!D6</f>
        <v>989.2</v>
      </c>
      <c r="Q10" s="1350">
        <f>'Allowed revenue -DPCR4'!E6</f>
        <v>1030.2</v>
      </c>
      <c r="R10" s="1350">
        <f>'Allowed revenue -DPCR4'!F6</f>
        <v>1064.8</v>
      </c>
      <c r="S10" s="1350">
        <f>'Allowed revenue -DPCR4'!G6</f>
        <v>1093.2</v>
      </c>
      <c r="T10" s="1350">
        <f>'Allowed revenue -DPCR4'!H6</f>
        <v>1115.6</v>
      </c>
      <c r="U10" s="1348"/>
      <c r="V10" s="70"/>
      <c r="W10" s="70"/>
      <c r="X10" s="70"/>
      <c r="Y10" s="70"/>
      <c r="Z10" s="70"/>
      <c r="AA10" s="70"/>
      <c r="AB10" s="70"/>
      <c r="AC10" s="70"/>
      <c r="AD10" s="70"/>
    </row>
    <row r="11" spans="1:30" ht="12.75">
      <c r="A11" s="70"/>
      <c r="B11" s="70"/>
      <c r="C11" s="1348" t="s">
        <v>148</v>
      </c>
      <c r="D11" s="1348"/>
      <c r="E11" s="1351">
        <f>P20</f>
      </c>
      <c r="F11" s="1351">
        <f>Q20</f>
      </c>
      <c r="G11" s="1351">
        <f>R20</f>
      </c>
      <c r="H11" s="1351">
        <f>R20</f>
      </c>
      <c r="I11" s="1351">
        <f>S20</f>
      </c>
      <c r="J11" s="1351">
        <f>T20</f>
      </c>
      <c r="K11" s="1348"/>
      <c r="L11" s="1348"/>
      <c r="M11" s="1348" t="s">
        <v>149</v>
      </c>
      <c r="N11" s="1348"/>
      <c r="O11" s="1348"/>
      <c r="P11" s="1350">
        <f>'Allowed revenue -DPCR4'!D7</f>
        <v>947.9</v>
      </c>
      <c r="Q11" s="1350"/>
      <c r="R11" s="1350">
        <f>'Allowed revenue -DPCR4'!F7</f>
        <v>0</v>
      </c>
      <c r="S11" s="1350"/>
      <c r="T11" s="1350">
        <f>'Allowed revenue -DPCR4'!H7</f>
        <v>851.7</v>
      </c>
      <c r="U11" s="1352"/>
      <c r="V11" s="70"/>
      <c r="W11" s="70"/>
      <c r="X11" s="70"/>
      <c r="Y11" s="70"/>
      <c r="Z11" s="70"/>
      <c r="AA11" s="70"/>
      <c r="AB11" s="70"/>
      <c r="AC11" s="70"/>
      <c r="AD11" s="70"/>
    </row>
    <row r="12" spans="1:30" ht="12.75">
      <c r="A12" s="70"/>
      <c r="B12" s="70"/>
      <c r="C12" s="1348" t="s">
        <v>150</v>
      </c>
      <c r="D12" s="1348"/>
      <c r="E12" s="1351">
        <f>P21</f>
        <v>1.5</v>
      </c>
      <c r="F12" s="1351"/>
      <c r="G12" s="1351"/>
      <c r="H12" s="1351"/>
      <c r="I12" s="1351"/>
      <c r="J12" s="1351"/>
      <c r="K12" s="1349"/>
      <c r="L12" s="1348"/>
      <c r="M12" s="1348" t="s">
        <v>151</v>
      </c>
      <c r="N12" s="1348"/>
      <c r="O12" s="1348"/>
      <c r="P12" s="1350"/>
      <c r="Q12" s="1350">
        <f>'Allowed revenue -DPCR4'!E8</f>
        <v>0</v>
      </c>
      <c r="R12" s="1350"/>
      <c r="S12" s="1350"/>
      <c r="T12" s="1350">
        <f>'Allowed revenue -DPCR4'!H8</f>
        <v>96.2</v>
      </c>
      <c r="U12" s="1352"/>
      <c r="V12" s="70"/>
      <c r="W12" s="70"/>
      <c r="X12" s="70"/>
      <c r="Y12" s="70"/>
      <c r="Z12" s="70"/>
      <c r="AA12" s="70"/>
      <c r="AB12" s="70"/>
      <c r="AC12" s="70"/>
      <c r="AD12" s="70"/>
    </row>
    <row r="13" spans="1:30" ht="12.75">
      <c r="A13" s="70"/>
      <c r="B13" s="70"/>
      <c r="C13" s="1348" t="s">
        <v>153</v>
      </c>
      <c r="D13" s="1348"/>
      <c r="E13" s="1352">
        <f>SUM(E10:E12)</f>
        <v>82.199</v>
      </c>
      <c r="F13" s="1352">
        <f>SUM(F10:F12)</f>
        <v>83.24130000000001</v>
      </c>
      <c r="G13" s="1352"/>
      <c r="H13" s="1352">
        <f>SUM(H10:H12)</f>
        <v>83.74130000000001</v>
      </c>
      <c r="I13" s="1352">
        <f>SUM(I10:I12)</f>
        <v>82.44130000000001</v>
      </c>
      <c r="J13" s="1352">
        <f>SUM(J10:J12)</f>
        <v>81.74130000000001</v>
      </c>
      <c r="K13" s="1348"/>
      <c r="L13" s="1348"/>
      <c r="M13" s="1348"/>
      <c r="N13" s="1348"/>
      <c r="O13" s="1348"/>
      <c r="P13" s="1348"/>
      <c r="Q13" s="1348"/>
      <c r="R13" s="1348"/>
      <c r="S13" s="1348"/>
      <c r="T13" s="1348"/>
      <c r="U13" s="1348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ht="12.75">
      <c r="A14" s="70"/>
      <c r="B14" s="70"/>
      <c r="C14" s="1348"/>
      <c r="D14" s="1348"/>
      <c r="E14" s="1352"/>
      <c r="F14" s="1352"/>
      <c r="G14" s="1352"/>
      <c r="H14" s="1352"/>
      <c r="I14" s="1352"/>
      <c r="J14" s="1352"/>
      <c r="K14" s="1348"/>
      <c r="L14" s="1348"/>
      <c r="M14" s="1348" t="s">
        <v>225</v>
      </c>
      <c r="N14" s="1348"/>
      <c r="O14" s="1348"/>
      <c r="P14" s="1349">
        <f>'Allowed revenue -DPCR4'!D10</f>
        <v>75.2</v>
      </c>
      <c r="Q14" s="1349">
        <f>'Allowed revenue -DPCR4'!E10</f>
        <v>77.7</v>
      </c>
      <c r="R14" s="1349">
        <f>'Allowed revenue -DPCR4'!F10</f>
        <v>78.2</v>
      </c>
      <c r="S14" s="1349">
        <f>'Allowed revenue -DPCR4'!G10</f>
        <v>76.9</v>
      </c>
      <c r="T14" s="1349">
        <f>'Allowed revenue -DPCR4'!H10</f>
        <v>76.2</v>
      </c>
      <c r="U14" s="1349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ht="12.75">
      <c r="A15" s="70"/>
      <c r="B15" s="70"/>
      <c r="C15" s="1348" t="s">
        <v>241</v>
      </c>
      <c r="D15" s="1348"/>
      <c r="E15" s="1352"/>
      <c r="F15" s="1352"/>
      <c r="G15" s="1352"/>
      <c r="H15" s="1352"/>
      <c r="I15" s="1352"/>
      <c r="J15" s="1352"/>
      <c r="K15" s="1348"/>
      <c r="L15" s="1348"/>
      <c r="M15" s="1348" t="s">
        <v>242</v>
      </c>
      <c r="N15" s="1348"/>
      <c r="O15" s="1348"/>
      <c r="P15" s="1349">
        <f>'Allowed revenue -DPCR4'!D11</f>
        <v>110.3</v>
      </c>
      <c r="Q15" s="1349">
        <f>'Allowed revenue -DPCR4'!E11</f>
        <v>109.9</v>
      </c>
      <c r="R15" s="1349">
        <f>'Allowed revenue -DPCR4'!F11</f>
        <v>109.4</v>
      </c>
      <c r="S15" s="1349">
        <f>'Allowed revenue -DPCR4'!G11</f>
        <v>109</v>
      </c>
      <c r="T15" s="1349">
        <f>'Allowed revenue -DPCR4'!H11</f>
        <v>108.8</v>
      </c>
      <c r="U15" s="1349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ht="12.75">
      <c r="A16" s="70"/>
      <c r="B16" s="70"/>
      <c r="C16" s="1348" t="s">
        <v>139</v>
      </c>
      <c r="D16" s="1353"/>
      <c r="E16" s="1352">
        <f>-P9</f>
        <v>76.5</v>
      </c>
      <c r="F16" s="1352">
        <f>-Q9</f>
        <v>76.5</v>
      </c>
      <c r="G16" s="1352"/>
      <c r="H16" s="1352">
        <f>-R9</f>
        <v>82.4</v>
      </c>
      <c r="I16" s="1352">
        <f>-S9</f>
        <v>88.2</v>
      </c>
      <c r="J16" s="1352">
        <f>-T9</f>
        <v>94.1</v>
      </c>
      <c r="K16" s="1354"/>
      <c r="L16" s="1348"/>
      <c r="M16" s="1348" t="s">
        <v>243</v>
      </c>
      <c r="N16" s="1348"/>
      <c r="O16" s="1348"/>
      <c r="P16" s="1349">
        <f>'Allowed revenue -DPCR4'!D12</f>
        <v>13</v>
      </c>
      <c r="Q16" s="1349">
        <f>'Allowed revenue -DPCR4'!E12</f>
        <v>13.1</v>
      </c>
      <c r="R16" s="1349">
        <f>'Allowed revenue -DPCR4'!F12</f>
        <v>13.1</v>
      </c>
      <c r="S16" s="1349">
        <f>'Allowed revenue -DPCR4'!G12</f>
        <v>13.1</v>
      </c>
      <c r="T16" s="1349">
        <f>'Allowed revenue -DPCR4'!H12</f>
        <v>13.1</v>
      </c>
      <c r="U16" s="1349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ht="12.75">
      <c r="A17" s="70"/>
      <c r="B17" s="70"/>
      <c r="C17" s="1348" t="s">
        <v>244</v>
      </c>
      <c r="D17" s="1348"/>
      <c r="E17" s="1352">
        <f aca="true" t="shared" si="0" ref="E17:F19">P17</f>
        <v>27.2</v>
      </c>
      <c r="F17" s="1352">
        <f t="shared" si="0"/>
        <v>26.3</v>
      </c>
      <c r="G17" s="1352"/>
      <c r="H17" s="1352">
        <f aca="true" t="shared" si="1" ref="H17:J19">R17</f>
        <v>26.4</v>
      </c>
      <c r="I17" s="1352">
        <f t="shared" si="1"/>
        <v>26.8</v>
      </c>
      <c r="J17" s="1352">
        <f t="shared" si="1"/>
        <v>26.8</v>
      </c>
      <c r="K17" s="1348"/>
      <c r="L17" s="1348"/>
      <c r="M17" s="1348" t="s">
        <v>244</v>
      </c>
      <c r="N17" s="1348"/>
      <c r="O17" s="1348"/>
      <c r="P17" s="1349">
        <f>'Allowed revenue -DPCR4'!D13</f>
        <v>27.2</v>
      </c>
      <c r="Q17" s="1349">
        <f>'Allowed revenue -DPCR4'!E13</f>
        <v>26.3</v>
      </c>
      <c r="R17" s="1349">
        <f>'Allowed revenue -DPCR4'!F13</f>
        <v>26.4</v>
      </c>
      <c r="S17" s="1349">
        <f>'Allowed revenue -DPCR4'!G13</f>
        <v>26.8</v>
      </c>
      <c r="T17" s="1349">
        <f>'Allowed revenue -DPCR4'!H13</f>
        <v>26.8</v>
      </c>
      <c r="U17" s="1349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ht="12.75">
      <c r="A18" s="70"/>
      <c r="B18" s="70"/>
      <c r="C18" s="1348" t="s">
        <v>246</v>
      </c>
      <c r="D18" s="1348"/>
      <c r="E18" s="1351">
        <f t="shared" si="0"/>
        <v>-0.8</v>
      </c>
      <c r="F18" s="1351">
        <f t="shared" si="0"/>
        <v>0.6</v>
      </c>
      <c r="G18" s="1351"/>
      <c r="H18" s="1351">
        <f t="shared" si="1"/>
        <v>-0.6</v>
      </c>
      <c r="I18" s="1351">
        <f t="shared" si="1"/>
        <v>-0.6</v>
      </c>
      <c r="J18" s="1351">
        <f t="shared" si="1"/>
        <v>-0.2</v>
      </c>
      <c r="K18" s="1349"/>
      <c r="L18" s="1348"/>
      <c r="M18" s="1348" t="s">
        <v>247</v>
      </c>
      <c r="N18" s="1348"/>
      <c r="O18" s="1348"/>
      <c r="P18" s="1349">
        <f>'Allowed revenue -DPCR4'!D14</f>
        <v>-0.8</v>
      </c>
      <c r="Q18" s="1349">
        <f>'Allowed revenue -DPCR4'!E14</f>
        <v>0.6</v>
      </c>
      <c r="R18" s="1349">
        <f>'Allowed revenue -DPCR4'!F14</f>
        <v>-0.6</v>
      </c>
      <c r="S18" s="1349">
        <f>'Allowed revenue -DPCR4'!G14</f>
        <v>-0.6</v>
      </c>
      <c r="T18" s="1349">
        <f>'Allowed revenue -DPCR4'!H14</f>
        <v>-0.2</v>
      </c>
      <c r="U18" s="1349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ht="12.75">
      <c r="A19" s="70"/>
      <c r="B19" s="70"/>
      <c r="C19" s="1348" t="s">
        <v>248</v>
      </c>
      <c r="D19" s="1348"/>
      <c r="E19" s="1351">
        <f t="shared" si="0"/>
        <v>1.4</v>
      </c>
      <c r="F19" s="1351">
        <f t="shared" si="0"/>
        <v>1.4</v>
      </c>
      <c r="G19" s="1351"/>
      <c r="H19" s="1351">
        <f t="shared" si="1"/>
        <v>1.5</v>
      </c>
      <c r="I19" s="1351">
        <f t="shared" si="1"/>
        <v>1.5</v>
      </c>
      <c r="J19" s="1351">
        <f t="shared" si="1"/>
        <v>1.6</v>
      </c>
      <c r="K19" s="1354"/>
      <c r="L19" s="1348"/>
      <c r="M19" s="1348" t="s">
        <v>249</v>
      </c>
      <c r="N19" s="1348"/>
      <c r="O19" s="1348"/>
      <c r="P19" s="1349">
        <f>'Allowed revenue -DPCR4'!D15</f>
        <v>1.4</v>
      </c>
      <c r="Q19" s="1349">
        <f>'Allowed revenue -DPCR4'!E15</f>
        <v>1.4</v>
      </c>
      <c r="R19" s="1349">
        <f>'Allowed revenue -DPCR4'!F15</f>
        <v>1.5</v>
      </c>
      <c r="S19" s="1349">
        <f>'Allowed revenue -DPCR4'!G15</f>
        <v>1.5</v>
      </c>
      <c r="T19" s="1349">
        <f>'Allowed revenue -DPCR4'!H15</f>
        <v>1.6</v>
      </c>
      <c r="U19" s="1349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12.75">
      <c r="A20" s="70"/>
      <c r="B20" s="70"/>
      <c r="C20" s="1348" t="s">
        <v>251</v>
      </c>
      <c r="D20" s="1354"/>
      <c r="E20" s="1352">
        <f>E8-E13-E16-E17-E18-E19</f>
        <v>54.739808503625405</v>
      </c>
      <c r="F20" s="1352">
        <f>F8-F13-F16-F17-F18-F19</f>
        <v>55.36865778015802</v>
      </c>
      <c r="G20" s="1352"/>
      <c r="H20" s="1352">
        <f>H8-H13-H16-H17-H18-H19</f>
        <v>52.62228467369788</v>
      </c>
      <c r="I20" s="1352">
        <f>I8-I13-I16-I17-I18-I19</f>
        <v>50.858389184245006</v>
      </c>
      <c r="J20" s="1352">
        <f>J8-J13-J16-J17-J18-J19</f>
        <v>47.812016077784925</v>
      </c>
      <c r="K20" s="1354"/>
      <c r="L20" s="1348"/>
      <c r="M20" s="1348" t="s">
        <v>100</v>
      </c>
      <c r="N20" s="1348"/>
      <c r="O20" s="1348"/>
      <c r="P20" s="1350">
        <f>IF(ISNUMBER('Allowed revenue -DPCR4'!D16+'Allowed revenue -DPCR4'!D17),'Allowed revenue -DPCR4'!D16+'Allowed revenue -DPCR4'!D17,"")</f>
      </c>
      <c r="Q20" s="1350">
        <f>IF(ISNUMBER('Allowed revenue -DPCR4'!E16+'Allowed revenue -DPCR4'!E17),'Allowed revenue -DPCR4'!E16+'Allowed revenue -DPCR4'!E17,"")</f>
      </c>
      <c r="R20" s="1350">
        <f>IF(ISNUMBER('Allowed revenue -DPCR4'!F16+'Allowed revenue -DPCR4'!F17),'Allowed revenue -DPCR4'!F16+'Allowed revenue -DPCR4'!F17,"")</f>
      </c>
      <c r="S20" s="1350">
        <f>IF(ISNUMBER('Allowed revenue -DPCR4'!G16+'Allowed revenue -DPCR4'!G17),'Allowed revenue -DPCR4'!G16+'Allowed revenue -DPCR4'!G17,"")</f>
      </c>
      <c r="T20" s="1350">
        <f>IF(ISNUMBER('Allowed revenue -DPCR4'!H16+'Allowed revenue -DPCR4'!H17),'Allowed revenue -DPCR4'!H16+'Allowed revenue -DPCR4'!H17,"")</f>
      </c>
      <c r="U20" s="1349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2.75">
      <c r="A21" s="70"/>
      <c r="B21" s="70"/>
      <c r="C21" s="1348" t="s">
        <v>169</v>
      </c>
      <c r="D21" s="1348"/>
      <c r="E21" s="1352">
        <f>SUM(E16:E20)</f>
        <v>159.0398085036254</v>
      </c>
      <c r="F21" s="1352">
        <f>SUM(F16:F20)</f>
        <v>160.16865778015801</v>
      </c>
      <c r="G21" s="1352"/>
      <c r="H21" s="1352">
        <f>SUM(H16:H20)</f>
        <v>162.32228467369788</v>
      </c>
      <c r="I21" s="1352">
        <f>SUM(I16:I20)</f>
        <v>166.758389184245</v>
      </c>
      <c r="J21" s="1352">
        <f>SUM(J16:J20)</f>
        <v>170.11201607778492</v>
      </c>
      <c r="K21" s="1348"/>
      <c r="L21" s="1348"/>
      <c r="M21" s="1348" t="s">
        <v>150</v>
      </c>
      <c r="N21" s="1348"/>
      <c r="O21" s="1348"/>
      <c r="P21" s="1349">
        <f>'Allowed revenue -DPCR4'!D18</f>
        <v>1.5</v>
      </c>
      <c r="Q21" s="1349" t="str">
        <f>'Allowed revenue -DPCR4'!E18</f>
        <v>-</v>
      </c>
      <c r="R21" s="1349" t="str">
        <f>'Allowed revenue -DPCR4'!F18</f>
        <v>-</v>
      </c>
      <c r="S21" s="1349" t="str">
        <f>'Allowed revenue -DPCR4'!G18</f>
        <v>-</v>
      </c>
      <c r="T21" s="1349" t="str">
        <f>'Allowed revenue -DPCR4'!H18</f>
        <v>-</v>
      </c>
      <c r="U21" s="1349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ht="12.75">
      <c r="A22" s="70"/>
      <c r="B22" s="70"/>
      <c r="C22" s="1355" t="s">
        <v>170</v>
      </c>
      <c r="D22" s="1348"/>
      <c r="E22" s="1352">
        <f>E21-E16</f>
        <v>82.53980850362541</v>
      </c>
      <c r="F22" s="1352">
        <f>F21-F16</f>
        <v>83.66865778015801</v>
      </c>
      <c r="G22" s="1352"/>
      <c r="H22" s="1352">
        <f>H21-H16</f>
        <v>79.92228467369787</v>
      </c>
      <c r="I22" s="1352">
        <f>I21-I16</f>
        <v>78.558389184245</v>
      </c>
      <c r="J22" s="1352">
        <f>J21-J16</f>
        <v>76.01201607778492</v>
      </c>
      <c r="K22" s="1356"/>
      <c r="L22" s="1356"/>
      <c r="M22" s="1356" t="s">
        <v>378</v>
      </c>
      <c r="N22" s="1356"/>
      <c r="O22" s="1356"/>
      <c r="P22" s="1348">
        <f>'Allowed revenue -DPCR4'!D19</f>
        <v>227.7</v>
      </c>
      <c r="Q22" s="1348">
        <f>'Allowed revenue -DPCR4'!E19</f>
        <v>229</v>
      </c>
      <c r="R22" s="1348">
        <f>'Allowed revenue -DPCR4'!F19</f>
        <v>228.1</v>
      </c>
      <c r="S22" s="1348">
        <f>'Allowed revenue -DPCR4'!G19</f>
        <v>226.8</v>
      </c>
      <c r="T22" s="1348">
        <f>'Allowed revenue -DPCR4'!H19</f>
        <v>226.3</v>
      </c>
      <c r="U22" s="1348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ht="12.75">
      <c r="A23" s="70"/>
      <c r="B23" s="70"/>
      <c r="C23" s="1348"/>
      <c r="D23" s="1348"/>
      <c r="E23" s="1352"/>
      <c r="F23" s="1352"/>
      <c r="G23" s="1352"/>
      <c r="H23" s="1352"/>
      <c r="I23" s="1352"/>
      <c r="J23" s="1352"/>
      <c r="K23" s="1356"/>
      <c r="L23" s="1356"/>
      <c r="M23" s="1356" t="s">
        <v>253</v>
      </c>
      <c r="N23" s="1356"/>
      <c r="O23" s="1356"/>
      <c r="P23" s="1348">
        <f>'Allowed revenue -DPCR4'!D20</f>
        <v>221.6</v>
      </c>
      <c r="Q23" s="1348">
        <f>'Allowed revenue -DPCR4'!E20</f>
        <v>211.2</v>
      </c>
      <c r="R23" s="1348">
        <f>'Allowed revenue -DPCR4'!F20</f>
        <v>199.3</v>
      </c>
      <c r="S23" s="1348">
        <f>'Allowed revenue -DPCR4'!G20</f>
        <v>187.7</v>
      </c>
      <c r="T23" s="1348">
        <f>'Allowed revenue -DPCR4'!H20</f>
        <v>177.5</v>
      </c>
      <c r="U23" s="1352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ht="12.75">
      <c r="A24" s="70"/>
      <c r="B24" s="70"/>
      <c r="C24" s="1348" t="s">
        <v>254</v>
      </c>
      <c r="D24" s="1348"/>
      <c r="E24" s="1352"/>
      <c r="F24" s="1352"/>
      <c r="G24" s="1352"/>
      <c r="H24" s="1352"/>
      <c r="I24" s="1352"/>
      <c r="J24" s="1352"/>
      <c r="K24" s="1356"/>
      <c r="L24" s="1348"/>
      <c r="M24" s="1348" t="s">
        <v>151</v>
      </c>
      <c r="N24" s="1348"/>
      <c r="O24" s="1348"/>
      <c r="P24" s="1348"/>
      <c r="Q24" s="1348"/>
      <c r="R24" s="1348"/>
      <c r="S24" s="1348"/>
      <c r="T24" s="1348">
        <f>'Allowed revenue -DPCR4'!H21</f>
        <v>96.2</v>
      </c>
      <c r="U24" s="1352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ht="12.75">
      <c r="A25" s="70"/>
      <c r="B25" s="70"/>
      <c r="C25" s="1348"/>
      <c r="D25" s="1348"/>
      <c r="E25" s="1352"/>
      <c r="F25" s="1352"/>
      <c r="G25" s="1352"/>
      <c r="H25" s="1352"/>
      <c r="I25" s="1352"/>
      <c r="J25" s="1352"/>
      <c r="K25" s="1348"/>
      <c r="L25" s="1348"/>
      <c r="M25" s="1348" t="s">
        <v>255</v>
      </c>
      <c r="N25" s="1348"/>
      <c r="O25" s="1348"/>
      <c r="P25" s="1348"/>
      <c r="Q25" s="1348"/>
      <c r="R25" s="1348"/>
      <c r="S25" s="1348"/>
      <c r="T25" s="1348">
        <f>'Allowed revenue -DPCR4'!H22</f>
        <v>1093.5</v>
      </c>
      <c r="U25" s="1352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ht="12.75">
      <c r="A26" s="70"/>
      <c r="B26" s="70"/>
      <c r="C26" s="1348" t="s">
        <v>372</v>
      </c>
      <c r="D26" s="1348"/>
      <c r="E26" s="1351">
        <f>E13</f>
        <v>82.199</v>
      </c>
      <c r="F26" s="1351">
        <f>F13</f>
        <v>83.24130000000001</v>
      </c>
      <c r="G26" s="1351"/>
      <c r="H26" s="1351">
        <f>H13</f>
        <v>83.74130000000001</v>
      </c>
      <c r="I26" s="1351">
        <f>I13</f>
        <v>82.44130000000001</v>
      </c>
      <c r="J26" s="1351">
        <f>J13</f>
        <v>81.74130000000001</v>
      </c>
      <c r="K26" s="1351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ht="12.75">
      <c r="A27" s="70"/>
      <c r="B27" s="70"/>
      <c r="C27" s="1348" t="s">
        <v>139</v>
      </c>
      <c r="D27" s="1348"/>
      <c r="E27" s="1351">
        <f>E16</f>
        <v>76.5</v>
      </c>
      <c r="F27" s="1351">
        <f>F16</f>
        <v>76.5</v>
      </c>
      <c r="G27" s="1351"/>
      <c r="H27" s="1351">
        <f>H16</f>
        <v>82.4</v>
      </c>
      <c r="I27" s="1351">
        <f>I16</f>
        <v>88.2</v>
      </c>
      <c r="J27" s="1351">
        <f>J16</f>
        <v>94.1</v>
      </c>
      <c r="K27" s="1349"/>
      <c r="L27" s="1348"/>
      <c r="M27" s="1353">
        <v>0.05545</v>
      </c>
      <c r="N27" s="1353"/>
      <c r="O27" s="1348"/>
      <c r="P27" s="1356">
        <f>1/(1+M27)</f>
        <v>0.9474631673693685</v>
      </c>
      <c r="Q27" s="1356">
        <f>P27/(1+M27)</f>
        <v>0.897686453521596</v>
      </c>
      <c r="R27" s="1356">
        <f>Q27/(1+M27)</f>
        <v>0.8505248505581467</v>
      </c>
      <c r="S27" s="1356">
        <f>R27/(1+M27)</f>
        <v>0.8058409688361805</v>
      </c>
      <c r="T27" s="1356">
        <f>S27/(1+M27)</f>
        <v>0.7635046367295282</v>
      </c>
      <c r="U27" s="1356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ht="12.75">
      <c r="A28" s="70"/>
      <c r="B28" s="70"/>
      <c r="C28" s="1348" t="s">
        <v>251</v>
      </c>
      <c r="D28" s="1354"/>
      <c r="E28" s="1352">
        <f>E20</f>
        <v>54.739808503625405</v>
      </c>
      <c r="F28" s="1352">
        <f>F20</f>
        <v>55.36865778015802</v>
      </c>
      <c r="G28" s="1352"/>
      <c r="H28" s="1352">
        <f>H20</f>
        <v>52.62228467369788</v>
      </c>
      <c r="I28" s="1352">
        <f>I20</f>
        <v>50.858389184245006</v>
      </c>
      <c r="J28" s="1352">
        <f>J20</f>
        <v>47.812016077784925</v>
      </c>
      <c r="K28" s="1354"/>
      <c r="L28" s="1348"/>
      <c r="M28" s="1348"/>
      <c r="N28" s="1348"/>
      <c r="O28" s="1348"/>
      <c r="P28" s="1356">
        <v>1</v>
      </c>
      <c r="Q28" s="1356">
        <f>P27</f>
        <v>0.9474631673693685</v>
      </c>
      <c r="R28" s="1356">
        <f>Q27</f>
        <v>0.897686453521596</v>
      </c>
      <c r="S28" s="1356">
        <f>R27</f>
        <v>0.8505248505581467</v>
      </c>
      <c r="T28" s="1356">
        <f>S27</f>
        <v>0.8058409688361805</v>
      </c>
      <c r="U28" s="1356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ht="12.75">
      <c r="A29" s="70"/>
      <c r="B29" s="70"/>
      <c r="C29" s="1348"/>
      <c r="D29" s="1354"/>
      <c r="E29" s="1354"/>
      <c r="F29" s="1354"/>
      <c r="G29" s="1354"/>
      <c r="H29" s="1354"/>
      <c r="I29" s="1354"/>
      <c r="J29" s="1354"/>
      <c r="K29" s="1354"/>
      <c r="L29" s="1348"/>
      <c r="M29" s="1348"/>
      <c r="N29" s="1348"/>
      <c r="O29" s="1348"/>
      <c r="P29" s="1356">
        <f>1/(1+M27)^0.5</f>
        <v>0.9733771968612006</v>
      </c>
      <c r="Q29" s="1356">
        <f>1/(1+M27)^1.5</f>
        <v>0.9222390419832306</v>
      </c>
      <c r="R29" s="1356">
        <f>1/(1+M27)^2.5</f>
        <v>0.8737875237891236</v>
      </c>
      <c r="S29" s="1356">
        <f>1/(1+M27)^3.5</f>
        <v>0.8278814948970804</v>
      </c>
      <c r="T29" s="1356">
        <f>1/(1+M27)^4.5</f>
        <v>0.7843872233616755</v>
      </c>
      <c r="U29" s="1356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ht="12.75">
      <c r="A30" s="70"/>
      <c r="B30" s="70"/>
      <c r="C30" s="1348"/>
      <c r="D30" s="1348"/>
      <c r="E30" s="1348"/>
      <c r="F30" s="1348"/>
      <c r="G30" s="1348"/>
      <c r="H30" s="1348"/>
      <c r="I30" s="1348"/>
      <c r="J30" s="1348"/>
      <c r="K30" s="1348"/>
      <c r="L30" s="1348"/>
      <c r="M30" s="1348"/>
      <c r="N30" s="1348"/>
      <c r="O30" s="1348"/>
      <c r="P30" s="1348"/>
      <c r="Q30" s="1348"/>
      <c r="R30" s="1348"/>
      <c r="S30" s="1348"/>
      <c r="T30" s="1348"/>
      <c r="U30" s="1348"/>
      <c r="V30" s="70"/>
      <c r="W30" s="70"/>
      <c r="X30" s="70"/>
      <c r="Y30" s="70"/>
      <c r="Z30" s="70"/>
      <c r="AA30" s="70"/>
      <c r="AB30" s="70"/>
      <c r="AC30" s="70"/>
      <c r="AD30" s="70"/>
    </row>
    <row r="31" spans="1:30" ht="12.75">
      <c r="A31" s="70"/>
      <c r="B31" s="70"/>
      <c r="C31" s="1348"/>
      <c r="D31" s="1349"/>
      <c r="E31" s="1348"/>
      <c r="F31" s="1348"/>
      <c r="G31" s="1348"/>
      <c r="H31" s="1348"/>
      <c r="I31" s="1348"/>
      <c r="J31" s="1348"/>
      <c r="K31" s="1348"/>
      <c r="L31" s="1348"/>
      <c r="M31" s="1348" t="s">
        <v>135</v>
      </c>
      <c r="N31" s="1348"/>
      <c r="O31" s="1348"/>
      <c r="P31" s="1349">
        <f>'Allowed revenue -DPCR4'!D24</f>
        <v>1</v>
      </c>
      <c r="Q31" s="1349">
        <f>'Allowed revenue -DPCR4'!E24</f>
        <v>1.009</v>
      </c>
      <c r="R31" s="1349">
        <f>'Allowed revenue -DPCR4'!F24</f>
        <v>1.02</v>
      </c>
      <c r="S31" s="1349">
        <f>'Allowed revenue -DPCR4'!G24</f>
        <v>1.033</v>
      </c>
      <c r="T31" s="1349">
        <f>'Allowed revenue -DPCR4'!H24</f>
        <v>1.044</v>
      </c>
      <c r="U31" s="1349"/>
      <c r="V31" s="70"/>
      <c r="W31" s="70"/>
      <c r="X31" s="70"/>
      <c r="Y31" s="70"/>
      <c r="Z31" s="70"/>
      <c r="AA31" s="70"/>
      <c r="AB31" s="70"/>
      <c r="AC31" s="70"/>
      <c r="AD31" s="70"/>
    </row>
    <row r="32" spans="1:48" ht="12.75">
      <c r="A32" s="70"/>
      <c r="B32" s="70"/>
      <c r="C32" s="1348"/>
      <c r="D32" s="1349"/>
      <c r="E32" s="1348"/>
      <c r="F32" s="1348"/>
      <c r="G32" s="1348"/>
      <c r="H32" s="1348"/>
      <c r="I32" s="1348"/>
      <c r="J32" s="1348"/>
      <c r="K32" s="1348"/>
      <c r="L32" s="1348"/>
      <c r="M32" s="1348" t="s">
        <v>136</v>
      </c>
      <c r="N32" s="1348"/>
      <c r="O32" s="1348"/>
      <c r="P32" s="1357">
        <f>P31*P29</f>
        <v>0.9733771968612006</v>
      </c>
      <c r="Q32" s="1357">
        <f>Q31*Q29</f>
        <v>0.9305391933610796</v>
      </c>
      <c r="R32" s="1357">
        <f>R31*R29</f>
        <v>0.8912632742649061</v>
      </c>
      <c r="S32" s="1357">
        <f>S31*S29</f>
        <v>0.855201584228684</v>
      </c>
      <c r="T32" s="1357">
        <f>T31*T29</f>
        <v>0.8189002611895893</v>
      </c>
      <c r="U32" s="1357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</row>
    <row r="33" spans="1:48" ht="12.75">
      <c r="A33" s="70"/>
      <c r="B33" s="70"/>
      <c r="C33" s="1348"/>
      <c r="D33" s="1348"/>
      <c r="E33" s="1348"/>
      <c r="F33" s="1348"/>
      <c r="G33" s="1348"/>
      <c r="H33" s="1348"/>
      <c r="I33" s="1348"/>
      <c r="J33" s="1348"/>
      <c r="K33" s="1348"/>
      <c r="L33" s="1348"/>
      <c r="M33" s="1348" t="s">
        <v>137</v>
      </c>
      <c r="N33" s="1348"/>
      <c r="O33" s="1348"/>
      <c r="P33" s="1352">
        <f>($T$25-$O$39)/SUM($P$32:$V$32)*P31</f>
        <v>241.2388085036254</v>
      </c>
      <c r="Q33" s="1352">
        <f>($T$25-$O$39)/SUM($P$32:$V$32)*Q31</f>
        <v>243.409957780158</v>
      </c>
      <c r="R33" s="1352">
        <f>($T$25-$O$39)/SUM($P$32:$V$32)*R31</f>
        <v>246.0635846736979</v>
      </c>
      <c r="S33" s="1352">
        <f>($T$25-$O$39)/SUM($P$32:$V$32)*S31</f>
        <v>249.19968918424502</v>
      </c>
      <c r="T33" s="1352">
        <f>($T$25-$O$39)/SUM($P$32:$V$32)*T31</f>
        <v>251.8533160777849</v>
      </c>
      <c r="U33" s="135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250"/>
      <c r="AQ33" s="250"/>
      <c r="AR33" s="250"/>
      <c r="AS33" s="250"/>
      <c r="AT33" s="250"/>
      <c r="AU33" s="70"/>
      <c r="AV33" s="70"/>
    </row>
    <row r="34" spans="1:48" ht="12.75">
      <c r="A34" s="70"/>
      <c r="B34" s="70"/>
      <c r="C34" s="1348"/>
      <c r="D34" s="1348"/>
      <c r="E34" s="1348"/>
      <c r="F34" s="1348"/>
      <c r="G34" s="1348"/>
      <c r="H34" s="1348"/>
      <c r="I34" s="1348"/>
      <c r="J34" s="1348"/>
      <c r="K34" s="1348"/>
      <c r="L34" s="1348"/>
      <c r="M34" s="1348" t="s">
        <v>187</v>
      </c>
      <c r="N34" s="1348"/>
      <c r="O34" s="1348"/>
      <c r="P34" s="1348">
        <f>'Allowed revenue -DPCR4'!D27</f>
        <v>3.5</v>
      </c>
      <c r="Q34" s="1348">
        <f>'Allowed revenue -DPCR4'!E27</f>
        <v>3.5</v>
      </c>
      <c r="R34" s="1348">
        <f>'Allowed revenue -DPCR4'!F27</f>
        <v>3.5</v>
      </c>
      <c r="S34" s="1348">
        <f>'Allowed revenue -DPCR4'!G27</f>
        <v>3.5</v>
      </c>
      <c r="T34" s="1348">
        <f>'Allowed revenue -DPCR4'!H27</f>
        <v>3.5</v>
      </c>
      <c r="U34" s="1348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83"/>
      <c r="AQ34" s="83"/>
      <c r="AR34" s="83"/>
      <c r="AS34" s="83"/>
      <c r="AT34" s="83"/>
      <c r="AU34" s="70"/>
      <c r="AV34" s="70"/>
    </row>
    <row r="35" spans="1:48" ht="12.75">
      <c r="A35" s="70"/>
      <c r="B35" s="70"/>
      <c r="C35" s="1348"/>
      <c r="D35" s="1348"/>
      <c r="E35" s="1348"/>
      <c r="F35" s="1348"/>
      <c r="G35" s="1348"/>
      <c r="H35" s="1348"/>
      <c r="I35" s="1348"/>
      <c r="J35" s="1348"/>
      <c r="K35" s="1348"/>
      <c r="L35" s="1348"/>
      <c r="M35" s="1348" t="s">
        <v>111</v>
      </c>
      <c r="N35" s="1348"/>
      <c r="O35" s="1348"/>
      <c r="P35" s="1352">
        <f>P34+P33</f>
        <v>244.7388085036254</v>
      </c>
      <c r="Q35" s="1352">
        <f>Q34+Q33</f>
        <v>246.909957780158</v>
      </c>
      <c r="R35" s="1352">
        <f>R34+R33</f>
        <v>249.5635846736979</v>
      </c>
      <c r="S35" s="1352">
        <f>S34+S33</f>
        <v>252.69968918424502</v>
      </c>
      <c r="T35" s="1352">
        <f>T34+T33</f>
        <v>255.3533160777849</v>
      </c>
      <c r="U35" s="135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173"/>
      <c r="AT35" s="70"/>
      <c r="AU35" s="70"/>
      <c r="AV35" s="70"/>
    </row>
    <row r="36" spans="1:48" ht="12.75">
      <c r="A36" s="70"/>
      <c r="B36" s="70"/>
      <c r="C36" s="1348"/>
      <c r="D36" s="1348"/>
      <c r="E36" s="1348"/>
      <c r="F36" s="1348"/>
      <c r="G36" s="1348"/>
      <c r="H36" s="1348"/>
      <c r="I36" s="1348"/>
      <c r="J36" s="1348"/>
      <c r="K36" s="1348"/>
      <c r="L36" s="1348"/>
      <c r="M36" s="1348" t="s">
        <v>181</v>
      </c>
      <c r="N36" s="1348"/>
      <c r="O36" s="1348"/>
      <c r="P36" s="1352">
        <f>P35*P29</f>
        <v>238.22317538440905</v>
      </c>
      <c r="Q36" s="1352">
        <f>Q35*Q29</f>
        <v>227.71000291929283</v>
      </c>
      <c r="R36" s="1352">
        <f>R35*R29</f>
        <v>218.06554667996778</v>
      </c>
      <c r="S36" s="1352">
        <f>S35*S29</f>
        <v>209.20539644188034</v>
      </c>
      <c r="T36" s="1352">
        <f>T35*T29</f>
        <v>200.29587857445</v>
      </c>
      <c r="U36" s="135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</row>
    <row r="37" spans="1:48" ht="12.75">
      <c r="A37" s="70"/>
      <c r="B37" s="70"/>
      <c r="C37" s="1348"/>
      <c r="D37" s="1348"/>
      <c r="E37" s="1348"/>
      <c r="F37" s="1348"/>
      <c r="G37" s="1348"/>
      <c r="H37" s="1348"/>
      <c r="I37" s="1348"/>
      <c r="J37" s="1348"/>
      <c r="K37" s="1348"/>
      <c r="L37" s="1348"/>
      <c r="M37" s="1348" t="s">
        <v>255</v>
      </c>
      <c r="N37" s="1348"/>
      <c r="O37" s="1348"/>
      <c r="P37" s="1348"/>
      <c r="Q37" s="1348"/>
      <c r="R37" s="1348"/>
      <c r="S37" s="1348"/>
      <c r="T37" s="1352">
        <f>SUM(P36:T36)</f>
        <v>1093.5</v>
      </c>
      <c r="U37" s="135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</row>
    <row r="38" spans="1:48" ht="12.75">
      <c r="A38" s="70"/>
      <c r="B38" s="70"/>
      <c r="C38" s="1348"/>
      <c r="D38" s="1348"/>
      <c r="E38" s="1348"/>
      <c r="F38" s="1348"/>
      <c r="G38" s="1348"/>
      <c r="H38" s="1348"/>
      <c r="I38" s="1348"/>
      <c r="J38" s="1348"/>
      <c r="K38" s="1348"/>
      <c r="L38" s="1348"/>
      <c r="M38" s="1348"/>
      <c r="N38" s="1348"/>
      <c r="O38" s="1348"/>
      <c r="P38" s="1348"/>
      <c r="Q38" s="1348"/>
      <c r="R38" s="1348"/>
      <c r="S38" s="1348"/>
      <c r="T38" s="1348"/>
      <c r="U38" s="1348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</row>
    <row r="39" spans="1:48" ht="12.75">
      <c r="A39" s="70"/>
      <c r="B39" s="70"/>
      <c r="C39" s="1348"/>
      <c r="D39" s="1348"/>
      <c r="E39" s="1348"/>
      <c r="F39" s="1348"/>
      <c r="G39" s="1348"/>
      <c r="H39" s="1348"/>
      <c r="I39" s="1348"/>
      <c r="J39" s="1348"/>
      <c r="K39" s="1348"/>
      <c r="L39" s="1348"/>
      <c r="M39" s="1348" t="s">
        <v>102</v>
      </c>
      <c r="N39" s="1348"/>
      <c r="O39" s="1352">
        <f>SUM(P39:T39)</f>
        <v>15.335853683123087</v>
      </c>
      <c r="P39" s="1352">
        <f>P34*P29</f>
        <v>3.4068201890142022</v>
      </c>
      <c r="Q39" s="1352">
        <f>Q34*Q29</f>
        <v>3.227836646941307</v>
      </c>
      <c r="R39" s="1352">
        <f>R34*R29</f>
        <v>3.058256333261933</v>
      </c>
      <c r="S39" s="1352">
        <f>S34*S29</f>
        <v>2.8975852321397815</v>
      </c>
      <c r="T39" s="1352">
        <f>T34*T29</f>
        <v>2.7453552817658644</v>
      </c>
      <c r="U39" s="135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</row>
    <row r="40" spans="1:48" s="270" customFormat="1" ht="12.75">
      <c r="A40" s="269"/>
      <c r="B40" s="269"/>
      <c r="O40" s="271"/>
      <c r="P40" s="271"/>
      <c r="Q40" s="271"/>
      <c r="R40" s="271"/>
      <c r="S40" s="271"/>
      <c r="T40" s="271"/>
      <c r="U40" s="271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</row>
    <row r="41" spans="1:48" s="273" customFormat="1" ht="12.75">
      <c r="A41" s="1347" t="s">
        <v>641</v>
      </c>
      <c r="B41" s="272"/>
      <c r="O41" s="274"/>
      <c r="P41" s="274"/>
      <c r="Q41" s="274"/>
      <c r="R41" s="274"/>
      <c r="S41" s="274"/>
      <c r="T41" s="274"/>
      <c r="U41" s="274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</row>
    <row r="42" spans="1:50" ht="12.75">
      <c r="A42" s="70"/>
      <c r="B42" s="70"/>
      <c r="C42" s="946"/>
      <c r="D42" s="946"/>
      <c r="E42" s="946"/>
      <c r="F42" s="946"/>
      <c r="G42" s="946"/>
      <c r="H42" s="946"/>
      <c r="I42" s="946"/>
      <c r="J42" s="946"/>
      <c r="K42" s="946"/>
      <c r="L42" s="946"/>
      <c r="M42" s="946"/>
      <c r="N42" s="946"/>
      <c r="O42" s="1358"/>
      <c r="P42" s="1358"/>
      <c r="Q42" s="1358"/>
      <c r="R42" s="1358"/>
      <c r="S42" s="1358"/>
      <c r="T42" s="1358"/>
      <c r="U42" s="1358"/>
      <c r="V42" s="1358"/>
      <c r="W42" s="1358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 ht="25.5">
      <c r="A43" s="70"/>
      <c r="B43" s="70"/>
      <c r="C43" s="1359" t="s">
        <v>636</v>
      </c>
      <c r="D43" s="197" t="s">
        <v>409</v>
      </c>
      <c r="E43" s="198" t="s">
        <v>410</v>
      </c>
      <c r="F43" s="1403" t="s">
        <v>411</v>
      </c>
      <c r="G43" s="1403"/>
      <c r="H43" s="1403"/>
      <c r="I43" s="1403"/>
      <c r="J43" s="1403"/>
      <c r="K43" s="199"/>
      <c r="L43" s="1404" t="s">
        <v>849</v>
      </c>
      <c r="M43" s="1403"/>
      <c r="N43" s="1403"/>
      <c r="O43" s="1405"/>
      <c r="P43" s="200"/>
      <c r="Q43" s="1406"/>
      <c r="R43" s="1407"/>
      <c r="S43" s="1403"/>
      <c r="T43" s="1403"/>
      <c r="U43" s="1405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1:50" ht="12.75">
      <c r="A44" s="70"/>
      <c r="B44" s="70"/>
      <c r="C44" s="1360"/>
      <c r="D44" s="183"/>
      <c r="E44" s="201"/>
      <c r="F44" s="183" t="s">
        <v>880</v>
      </c>
      <c r="G44" s="183"/>
      <c r="H44" s="183" t="s">
        <v>874</v>
      </c>
      <c r="I44" s="183" t="s">
        <v>367</v>
      </c>
      <c r="J44" s="183" t="s">
        <v>875</v>
      </c>
      <c r="K44" s="202"/>
      <c r="L44" s="203" t="s">
        <v>880</v>
      </c>
      <c r="M44" s="183" t="s">
        <v>874</v>
      </c>
      <c r="N44" s="183" t="s">
        <v>367</v>
      </c>
      <c r="O44" s="204" t="s">
        <v>875</v>
      </c>
      <c r="P44" s="192"/>
      <c r="Q44" s="201"/>
      <c r="R44" s="178"/>
      <c r="S44" s="178"/>
      <c r="T44" s="178"/>
      <c r="U44" s="205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1:50" ht="12.75">
      <c r="A45" s="70"/>
      <c r="B45" s="70"/>
      <c r="C45" s="1360" t="s">
        <v>251</v>
      </c>
      <c r="D45" s="206">
        <f>SUM(E22:J22)</f>
        <v>400.7011562195112</v>
      </c>
      <c r="E45" s="1361" t="s">
        <v>121</v>
      </c>
      <c r="F45" s="190">
        <f>VLOOKUP($E45,'Calc-Drivers'!$B$17:$F$27,F$51,FALSE)</f>
        <v>0.5322662990233047</v>
      </c>
      <c r="G45" s="190"/>
      <c r="H45" s="190">
        <f>VLOOKUP($E45,'Calc-Drivers'!$B$17:$F$27,H$51,FALSE)</f>
        <v>0.27202086792538993</v>
      </c>
      <c r="I45" s="190">
        <f>VLOOKUP($E45,'Calc-Drivers'!$B$17:$F$27,I$51,FALSE)</f>
        <v>0.05974950683893988</v>
      </c>
      <c r="J45" s="190">
        <f>VLOOKUP($E45,'Calc-Drivers'!$B$17:$F$27,J$51,FALSE)</f>
        <v>0.13596332621236557</v>
      </c>
      <c r="K45" s="202"/>
      <c r="L45" s="208">
        <f>$D45*F45</f>
        <v>213.27972143531827</v>
      </c>
      <c r="M45" s="209">
        <f aca="true" t="shared" si="2" ref="M45:O47">$D45*H45</f>
        <v>108.99907629353869</v>
      </c>
      <c r="N45" s="209">
        <f t="shared" si="2"/>
        <v>23.9416964739088</v>
      </c>
      <c r="O45" s="210">
        <f t="shared" si="2"/>
        <v>54.480662016745455</v>
      </c>
      <c r="P45" s="192"/>
      <c r="Q45" s="211"/>
      <c r="R45" s="212"/>
      <c r="S45" s="211"/>
      <c r="T45" s="211"/>
      <c r="U45" s="211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1:50" ht="12.75">
      <c r="A46" s="70"/>
      <c r="B46" s="70"/>
      <c r="C46" s="1360" t="s">
        <v>139</v>
      </c>
      <c r="D46" s="206">
        <f>SUM(E16:J16)</f>
        <v>417.70000000000005</v>
      </c>
      <c r="E46" s="207" t="s">
        <v>121</v>
      </c>
      <c r="F46" s="190">
        <f>VLOOKUP($E46,'Calc-Drivers'!$B$17:$F$27,F$51,FALSE)</f>
        <v>0.5322662990233047</v>
      </c>
      <c r="G46" s="190"/>
      <c r="H46" s="190">
        <f>VLOOKUP($E46,'Calc-Drivers'!$B$17:$F$27,H$51,FALSE)</f>
        <v>0.27202086792538993</v>
      </c>
      <c r="I46" s="190">
        <f>VLOOKUP($E46,'Calc-Drivers'!$B$17:$F$27,I$51,FALSE)</f>
        <v>0.05974950683893988</v>
      </c>
      <c r="J46" s="190">
        <f>VLOOKUP($E46,'Calc-Drivers'!$B$17:$F$27,J$51,FALSE)</f>
        <v>0.13596332621236557</v>
      </c>
      <c r="K46" s="202"/>
      <c r="L46" s="208">
        <f>$D46*F46</f>
        <v>222.32763310203438</v>
      </c>
      <c r="M46" s="209">
        <f t="shared" si="2"/>
        <v>113.62311653243539</v>
      </c>
      <c r="N46" s="209">
        <f t="shared" si="2"/>
        <v>24.95736900662519</v>
      </c>
      <c r="O46" s="210">
        <f t="shared" si="2"/>
        <v>56.7918813589051</v>
      </c>
      <c r="P46" s="192"/>
      <c r="Q46" s="211"/>
      <c r="R46" s="212"/>
      <c r="S46" s="211"/>
      <c r="T46" s="211"/>
      <c r="U46" s="211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1:50" ht="12.75">
      <c r="A47" s="70"/>
      <c r="B47" s="70"/>
      <c r="C47" s="1362" t="s">
        <v>412</v>
      </c>
      <c r="D47" s="206">
        <f>SUM(E13:J13)</f>
        <v>413.36420000000004</v>
      </c>
      <c r="E47" s="207" t="s">
        <v>413</v>
      </c>
      <c r="F47" s="190">
        <f>'Calc - WPD Opex Allocation'!AO41</f>
        <v>0.2619952753642222</v>
      </c>
      <c r="H47" s="190">
        <f>'Calc - WPD Opex Allocation'!AP41</f>
        <v>0.1887969141801584</v>
      </c>
      <c r="I47" s="190">
        <f>'Calc - WPD Opex Allocation'!AQ41</f>
        <v>0.0785955560246349</v>
      </c>
      <c r="J47" s="190">
        <f>'Calc - WPD Opex Allocation'!AR41</f>
        <v>0.47061225443098453</v>
      </c>
      <c r="K47" s="202"/>
      <c r="L47" s="208">
        <f>$D47*F47</f>
        <v>108.29946740471142</v>
      </c>
      <c r="M47" s="209">
        <f t="shared" si="2"/>
        <v>78.04188539254984</v>
      </c>
      <c r="N47" s="209">
        <f t="shared" si="2"/>
        <v>32.48858913967839</v>
      </c>
      <c r="O47" s="210">
        <f>$D47*J47</f>
        <v>194.5342580630604</v>
      </c>
      <c r="P47" s="192"/>
      <c r="Q47" s="211"/>
      <c r="R47" s="212"/>
      <c r="S47" s="211"/>
      <c r="T47" s="211"/>
      <c r="U47" s="211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1:50" ht="12.75">
      <c r="A48" s="70"/>
      <c r="B48" s="70"/>
      <c r="C48" s="201"/>
      <c r="D48" s="206"/>
      <c r="E48" s="201"/>
      <c r="F48" s="178"/>
      <c r="G48" s="178"/>
      <c r="H48" s="178"/>
      <c r="I48" s="178"/>
      <c r="J48" s="178"/>
      <c r="K48" s="202"/>
      <c r="L48" s="203"/>
      <c r="M48" s="183"/>
      <c r="N48" s="209"/>
      <c r="O48" s="204"/>
      <c r="P48" s="192"/>
      <c r="Q48" s="213"/>
      <c r="R48" s="192"/>
      <c r="S48" s="192"/>
      <c r="T48" s="212"/>
      <c r="U48" s="205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1:50" ht="12.75">
      <c r="A49" s="70"/>
      <c r="B49" s="70"/>
      <c r="C49" s="1362" t="s">
        <v>881</v>
      </c>
      <c r="D49" s="206">
        <f>SUM(D45:D47)</f>
        <v>1231.7653562195112</v>
      </c>
      <c r="E49" s="201"/>
      <c r="F49" s="178"/>
      <c r="G49" s="178"/>
      <c r="H49" s="178"/>
      <c r="I49" s="178"/>
      <c r="J49" s="178"/>
      <c r="K49" s="202"/>
      <c r="L49" s="208">
        <f>SUM(L45:L48)</f>
        <v>543.9068219420641</v>
      </c>
      <c r="M49" s="209">
        <f>SUM(M45:M48)</f>
        <v>300.6640782185239</v>
      </c>
      <c r="N49" s="209">
        <f>SUM(N45:N48)</f>
        <v>81.38765462021237</v>
      </c>
      <c r="O49" s="210">
        <f>SUM(O45:O48)</f>
        <v>305.806801438711</v>
      </c>
      <c r="P49" s="192"/>
      <c r="Q49" s="214"/>
      <c r="R49" s="215"/>
      <c r="S49" s="215"/>
      <c r="T49" s="215"/>
      <c r="U49" s="216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1:50" ht="12.75">
      <c r="A50" s="70"/>
      <c r="B50" s="70"/>
      <c r="C50" s="217"/>
      <c r="D50" s="218"/>
      <c r="E50" s="217"/>
      <c r="F50" s="218"/>
      <c r="G50" s="218"/>
      <c r="H50" s="218"/>
      <c r="I50" s="218"/>
      <c r="J50" s="218"/>
      <c r="K50" s="219"/>
      <c r="L50" s="220">
        <f>L49/SUM($L$49:$O$49)</f>
        <v>0.4415669097979852</v>
      </c>
      <c r="M50" s="220">
        <f>M49/SUM($L$49:$O$49)</f>
        <v>0.244092007215815</v>
      </c>
      <c r="N50" s="220">
        <f>N49/SUM($L$49:$O$49)</f>
        <v>0.06607399226586819</v>
      </c>
      <c r="O50" s="220">
        <f>O49/SUM($L$49:$O$49)</f>
        <v>0.24826709072033157</v>
      </c>
      <c r="P50" s="221"/>
      <c r="Q50" s="222"/>
      <c r="R50" s="222"/>
      <c r="S50" s="222"/>
      <c r="T50" s="222"/>
      <c r="U50" s="222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1:50" ht="12.75">
      <c r="A51" s="70"/>
      <c r="B51" s="70"/>
      <c r="C51" s="70"/>
      <c r="D51" s="70"/>
      <c r="E51" s="70"/>
      <c r="F51" s="70">
        <v>5</v>
      </c>
      <c r="G51" s="70"/>
      <c r="H51" s="70">
        <v>4</v>
      </c>
      <c r="I51" s="70">
        <v>3</v>
      </c>
      <c r="J51" s="70">
        <v>2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1:50" ht="12.7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1:50" ht="12.75">
      <c r="A53" s="70"/>
      <c r="B53" s="70"/>
      <c r="C53" s="70"/>
      <c r="D53" s="70"/>
      <c r="E53" s="1363" t="s">
        <v>503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1:50" ht="12.75">
      <c r="A54" s="70"/>
      <c r="B54" s="70"/>
      <c r="C54" s="70"/>
      <c r="D54" s="70"/>
      <c r="E54" s="1363" t="s">
        <v>504</v>
      </c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50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1:48" s="273" customFormat="1" ht="12.75">
      <c r="A56" s="1347" t="s">
        <v>501</v>
      </c>
      <c r="B56" s="272"/>
      <c r="O56" s="274"/>
      <c r="P56" s="274"/>
      <c r="Q56" s="274"/>
      <c r="R56" s="274"/>
      <c r="S56" s="274"/>
      <c r="T56" s="274"/>
      <c r="U56" s="274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</row>
    <row r="58" spans="2:8" ht="13.5" thickBot="1">
      <c r="B58" s="1408" t="s">
        <v>642</v>
      </c>
      <c r="C58" s="1408"/>
      <c r="D58" s="1408"/>
      <c r="E58" s="1408"/>
      <c r="F58" s="1408"/>
      <c r="G58" s="1408"/>
      <c r="H58" s="1408"/>
    </row>
    <row r="59" spans="2:19" ht="13.5" thickBot="1">
      <c r="B59" s="163" t="s">
        <v>493</v>
      </c>
      <c r="C59" s="164"/>
      <c r="D59" s="164"/>
      <c r="E59" s="164"/>
      <c r="F59" s="164"/>
      <c r="G59" s="223">
        <f>'Summary of revenue'!J11</f>
        <v>276.426855</v>
      </c>
      <c r="H59" s="165">
        <f>G59/$G$64</f>
        <v>0.9432757089156927</v>
      </c>
      <c r="K59" s="170"/>
      <c r="L59" s="170"/>
      <c r="M59" s="170"/>
      <c r="N59" s="170"/>
      <c r="O59" s="170"/>
      <c r="P59" s="170"/>
      <c r="Q59" s="170"/>
      <c r="R59" s="170"/>
      <c r="S59" s="170" t="s">
        <v>849</v>
      </c>
    </row>
    <row r="60" spans="2:19" ht="13.5" thickBot="1">
      <c r="B60" s="166" t="s">
        <v>441</v>
      </c>
      <c r="C60" s="167"/>
      <c r="D60" s="167"/>
      <c r="E60" s="167"/>
      <c r="F60" s="167"/>
      <c r="G60" s="223">
        <f>'Summary of revenue'!J12</f>
        <v>-4.598327</v>
      </c>
      <c r="H60" s="165">
        <f>G60/$G$64</f>
        <v>-0.015691276307980895</v>
      </c>
      <c r="K60" s="170"/>
      <c r="L60" s="170"/>
      <c r="M60" s="170"/>
      <c r="N60" s="170"/>
      <c r="O60" s="170"/>
      <c r="P60" s="170"/>
      <c r="Q60" s="170"/>
      <c r="R60" s="170"/>
      <c r="S60" s="170"/>
    </row>
    <row r="61" spans="2:20" ht="13.5" thickBot="1">
      <c r="B61" s="166" t="s">
        <v>579</v>
      </c>
      <c r="C61" s="167"/>
      <c r="D61" s="167"/>
      <c r="E61" s="167"/>
      <c r="F61" s="167"/>
      <c r="G61" s="223">
        <f>'Summary of revenue'!J13</f>
        <v>26.407908</v>
      </c>
      <c r="H61" s="165">
        <f>G61/$G$64</f>
        <v>0.09011403085159866</v>
      </c>
      <c r="K61" s="170" t="s">
        <v>583</v>
      </c>
      <c r="L61" s="170"/>
      <c r="M61" s="170"/>
      <c r="N61" s="170"/>
      <c r="O61" s="170"/>
      <c r="P61" s="170"/>
      <c r="Q61" s="170"/>
      <c r="R61" s="170"/>
      <c r="S61" s="171">
        <f>G64</f>
        <v>293.04990300000003</v>
      </c>
      <c r="T61" s="1277" t="s">
        <v>588</v>
      </c>
    </row>
    <row r="62" spans="2:20" ht="13.5" thickBot="1">
      <c r="B62" s="1364" t="s">
        <v>435</v>
      </c>
      <c r="C62" s="167"/>
      <c r="D62" s="167"/>
      <c r="E62" s="167"/>
      <c r="F62" s="167"/>
      <c r="G62" s="223">
        <f>'Summary of revenue'!J21</f>
        <v>-11.856533</v>
      </c>
      <c r="H62" s="165">
        <f>G62/$G$64</f>
        <v>-0.04045909204754113</v>
      </c>
      <c r="K62" s="170"/>
      <c r="L62" s="170"/>
      <c r="M62" s="170"/>
      <c r="N62" s="170"/>
      <c r="O62" s="170"/>
      <c r="P62" s="170"/>
      <c r="Q62" s="170"/>
      <c r="R62" s="170"/>
      <c r="S62" s="171"/>
      <c r="T62" s="1277"/>
    </row>
    <row r="63" spans="2:20" ht="15" thickBot="1">
      <c r="B63" s="166" t="s">
        <v>580</v>
      </c>
      <c r="C63" s="167"/>
      <c r="D63" s="167"/>
      <c r="E63" s="167"/>
      <c r="F63" s="167"/>
      <c r="G63" s="223">
        <f>'Summary of revenue'!J46+'Summary of revenue'!J47</f>
        <v>6.67</v>
      </c>
      <c r="H63" s="165">
        <f>G63/$G$64</f>
        <v>0.022760628588230584</v>
      </c>
      <c r="K63" s="170" t="s">
        <v>138</v>
      </c>
      <c r="L63" s="170"/>
      <c r="M63" s="170"/>
      <c r="N63" s="170"/>
      <c r="O63" s="170"/>
      <c r="P63" s="172" t="s">
        <v>57</v>
      </c>
      <c r="Q63" s="170"/>
      <c r="R63" s="170"/>
      <c r="S63" s="171">
        <f>IF(P63="Y",-G61,0)</f>
        <v>-26.407908</v>
      </c>
      <c r="T63" s="1277" t="s">
        <v>588</v>
      </c>
    </row>
    <row r="64" spans="2:20" ht="15" thickBot="1">
      <c r="B64" s="168" t="s">
        <v>881</v>
      </c>
      <c r="C64" s="169"/>
      <c r="D64" s="169"/>
      <c r="E64" s="169"/>
      <c r="F64" s="169"/>
      <c r="G64" s="223">
        <f>SUM(G59:G63)</f>
        <v>293.04990300000003</v>
      </c>
      <c r="H64" s="165">
        <f>SUM(H59:H63)</f>
        <v>0.9999999999999999</v>
      </c>
      <c r="K64" s="170" t="s">
        <v>144</v>
      </c>
      <c r="L64" s="170"/>
      <c r="M64" s="170"/>
      <c r="N64" s="170"/>
      <c r="O64" s="170"/>
      <c r="P64" s="172" t="s">
        <v>147</v>
      </c>
      <c r="Q64" s="170"/>
      <c r="R64" s="170"/>
      <c r="S64" s="171">
        <f>IF(P64="Y",-G66,0)</f>
        <v>0</v>
      </c>
      <c r="T64" s="1277" t="s">
        <v>159</v>
      </c>
    </row>
    <row r="65" spans="11:19" ht="14.25">
      <c r="K65" s="170" t="s">
        <v>105</v>
      </c>
      <c r="L65" s="170"/>
      <c r="M65" s="170"/>
      <c r="N65" s="170"/>
      <c r="O65" s="170"/>
      <c r="P65" s="172" t="s">
        <v>57</v>
      </c>
      <c r="Q65" s="170"/>
      <c r="R65" s="170"/>
      <c r="S65" s="171">
        <f>IF(P65="Y",-'RRP 1.3'!AH12,0)</f>
        <v>-4.4</v>
      </c>
    </row>
    <row r="66" spans="2:19" ht="12.75">
      <c r="B66" s="275" t="s">
        <v>125</v>
      </c>
      <c r="G66" s="167">
        <v>0</v>
      </c>
      <c r="H66" s="1277" t="s">
        <v>159</v>
      </c>
      <c r="K66" s="170"/>
      <c r="L66" s="170"/>
      <c r="M66" s="170"/>
      <c r="N66" s="170"/>
      <c r="O66" s="170"/>
      <c r="P66" s="170"/>
      <c r="Q66" s="170"/>
      <c r="R66" s="170"/>
      <c r="S66" s="170"/>
    </row>
    <row r="67" spans="11:19" ht="12.75">
      <c r="K67" s="170" t="s">
        <v>152</v>
      </c>
      <c r="L67" s="170"/>
      <c r="M67" s="170"/>
      <c r="N67" s="170"/>
      <c r="O67" s="170"/>
      <c r="P67" s="170"/>
      <c r="Q67" s="170"/>
      <c r="R67" s="170"/>
      <c r="S67" s="171">
        <f>S61+S63+S64+S65</f>
        <v>262.24199500000003</v>
      </c>
    </row>
    <row r="68" spans="2:19" ht="12.75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5:19" s="101" customFormat="1" ht="39" customHeight="1" thickBot="1">
      <c r="E69" s="1409" t="s">
        <v>502</v>
      </c>
      <c r="F69" s="1410"/>
      <c r="G69" s="1410"/>
      <c r="H69" s="1410"/>
      <c r="I69" s="1410"/>
      <c r="J69" s="1410"/>
      <c r="K69" s="1410"/>
      <c r="L69" s="1411"/>
      <c r="M69" s="1409" t="s">
        <v>544</v>
      </c>
      <c r="N69" s="1410"/>
      <c r="O69" s="1410"/>
      <c r="P69" s="1410"/>
      <c r="Q69" s="1410"/>
      <c r="R69" s="1410"/>
      <c r="S69" s="1411"/>
    </row>
    <row r="70" spans="2:19" ht="12.75">
      <c r="B70" s="174" t="s">
        <v>245</v>
      </c>
      <c r="C70" s="175"/>
      <c r="D70" s="175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9"/>
    </row>
    <row r="71" spans="2:19" ht="13.5" thickBot="1">
      <c r="B71" s="177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9"/>
    </row>
    <row r="72" spans="2:19" ht="12.75">
      <c r="B72" s="174"/>
      <c r="C72" s="175"/>
      <c r="D72" s="175"/>
      <c r="E72" s="1399" t="s">
        <v>849</v>
      </c>
      <c r="F72" s="1400"/>
      <c r="G72" s="1400"/>
      <c r="H72" s="1400"/>
      <c r="I72" s="1400"/>
      <c r="J72" s="1400"/>
      <c r="K72" s="1400"/>
      <c r="L72" s="176"/>
      <c r="M72" s="1399" t="s">
        <v>250</v>
      </c>
      <c r="N72" s="1401"/>
      <c r="O72" s="1401"/>
      <c r="P72" s="1401"/>
      <c r="Q72" s="1401"/>
      <c r="R72" s="1400"/>
      <c r="S72" s="1402"/>
    </row>
    <row r="73" spans="2:19" ht="12.75">
      <c r="B73" s="177"/>
      <c r="C73" s="178"/>
      <c r="D73" s="178"/>
      <c r="E73" s="180" t="s">
        <v>881</v>
      </c>
      <c r="F73" s="180"/>
      <c r="G73" s="180" t="s">
        <v>880</v>
      </c>
      <c r="H73" s="180" t="s">
        <v>874</v>
      </c>
      <c r="I73" s="180" t="s">
        <v>367</v>
      </c>
      <c r="J73" s="180" t="s">
        <v>875</v>
      </c>
      <c r="K73" s="180" t="s">
        <v>101</v>
      </c>
      <c r="L73" s="180"/>
      <c r="M73" s="181" t="s">
        <v>880</v>
      </c>
      <c r="N73" s="181" t="s">
        <v>874</v>
      </c>
      <c r="O73" s="181" t="s">
        <v>367</v>
      </c>
      <c r="P73" s="181" t="s">
        <v>875</v>
      </c>
      <c r="Q73" s="180" t="s">
        <v>101</v>
      </c>
      <c r="R73" s="180"/>
      <c r="S73" s="180" t="s">
        <v>881</v>
      </c>
    </row>
    <row r="74" spans="2:19" ht="12.75">
      <c r="B74" s="177"/>
      <c r="C74" s="178"/>
      <c r="D74" s="178"/>
      <c r="E74" s="177"/>
      <c r="F74" s="178"/>
      <c r="G74" s="178"/>
      <c r="H74" s="178"/>
      <c r="I74" s="178"/>
      <c r="J74" s="178"/>
      <c r="K74" s="178"/>
      <c r="L74" s="179"/>
      <c r="M74" s="182"/>
      <c r="N74" s="183"/>
      <c r="O74" s="183"/>
      <c r="P74" s="183"/>
      <c r="Q74" s="178"/>
      <c r="R74" s="178"/>
      <c r="S74" s="179"/>
    </row>
    <row r="75" spans="2:19" ht="12.75">
      <c r="B75" s="177" t="s">
        <v>379</v>
      </c>
      <c r="C75" s="178"/>
      <c r="D75" s="178"/>
      <c r="E75" s="184">
        <f>SUM(G75:K75)</f>
        <v>293.04990300000003</v>
      </c>
      <c r="F75" s="178"/>
      <c r="G75" s="185">
        <f>$S$67*L50</f>
        <v>115.7973873514087</v>
      </c>
      <c r="H75" s="185">
        <f>$S$67*M50</f>
        <v>64.01117493582973</v>
      </c>
      <c r="I75" s="185">
        <f>$S$67*N50</f>
        <v>17.327375549415844</v>
      </c>
      <c r="J75" s="185">
        <f>$S$67*O50</f>
        <v>65.10605716334574</v>
      </c>
      <c r="K75" s="224">
        <f>S61-S67</f>
        <v>30.807907999999998</v>
      </c>
      <c r="L75" s="179"/>
      <c r="M75" s="186">
        <f>G75*100000000/'Calc-Units'!E21</f>
        <v>0.3943391649269732</v>
      </c>
      <c r="N75" s="186">
        <f>H75*100000000/'Calc-Units'!D21</f>
        <v>0.22315445721613145</v>
      </c>
      <c r="O75" s="186">
        <f>I75*100000000/'Calc-Units'!C21</f>
        <v>0.08984431997000852</v>
      </c>
      <c r="P75" s="186">
        <f>J75*100000000/'Calc-Units'!C21</f>
        <v>0.33758196185495043</v>
      </c>
      <c r="Q75" s="186">
        <f>K75*100000000/'Calc-Units'!E21</f>
        <v>0.10491397942338139</v>
      </c>
      <c r="R75" s="178"/>
      <c r="S75" s="186"/>
    </row>
    <row r="76" spans="2:19" ht="12.75">
      <c r="B76" s="177"/>
      <c r="C76" s="178"/>
      <c r="D76" s="178"/>
      <c r="E76" s="177"/>
      <c r="F76" s="178"/>
      <c r="G76" s="178"/>
      <c r="H76" s="178"/>
      <c r="I76" s="178"/>
      <c r="J76" s="178"/>
      <c r="K76" s="178"/>
      <c r="L76" s="179"/>
      <c r="M76" s="182"/>
      <c r="N76" s="183"/>
      <c r="O76" s="183"/>
      <c r="P76" s="183"/>
      <c r="Q76" s="183"/>
      <c r="R76" s="178"/>
      <c r="S76" s="179"/>
    </row>
    <row r="77" spans="2:19" ht="12.75">
      <c r="B77" s="177"/>
      <c r="C77" s="178"/>
      <c r="D77" s="178"/>
      <c r="E77" s="177"/>
      <c r="F77" s="178"/>
      <c r="G77" s="178"/>
      <c r="H77" s="178"/>
      <c r="I77" s="178"/>
      <c r="J77" s="178"/>
      <c r="K77" s="178"/>
      <c r="L77" s="179"/>
      <c r="M77" s="182"/>
      <c r="N77" s="183"/>
      <c r="O77" s="183"/>
      <c r="P77" s="183"/>
      <c r="Q77" s="183"/>
      <c r="R77" s="178"/>
      <c r="S77" s="179"/>
    </row>
    <row r="78" spans="2:19" ht="12.75">
      <c r="B78" s="177" t="s">
        <v>256</v>
      </c>
      <c r="C78" s="178"/>
      <c r="D78" s="178"/>
      <c r="E78" s="177"/>
      <c r="F78" s="178"/>
      <c r="G78" s="178"/>
      <c r="H78" s="178"/>
      <c r="I78" s="178"/>
      <c r="J78" s="178"/>
      <c r="K78" s="178"/>
      <c r="L78" s="179"/>
      <c r="M78" s="186">
        <f>M75</f>
        <v>0.3943391649269732</v>
      </c>
      <c r="N78" s="187">
        <f>N75</f>
        <v>0.22315445721613145</v>
      </c>
      <c r="O78" s="187">
        <f>O75</f>
        <v>0.08984431997000852</v>
      </c>
      <c r="P78" s="187">
        <f>P75</f>
        <v>0.33758196185495043</v>
      </c>
      <c r="Q78" s="187">
        <f>Q75</f>
        <v>0.10491397942338139</v>
      </c>
      <c r="R78" s="178"/>
      <c r="S78" s="188">
        <f>SUM(M78:Q78)</f>
        <v>1.149833883391445</v>
      </c>
    </row>
    <row r="79" spans="2:19" ht="12.75">
      <c r="B79" s="177" t="s">
        <v>133</v>
      </c>
      <c r="C79" s="178"/>
      <c r="D79" s="178"/>
      <c r="E79" s="177"/>
      <c r="F79" s="178"/>
      <c r="G79" s="178"/>
      <c r="H79" s="178"/>
      <c r="I79" s="178"/>
      <c r="J79" s="178"/>
      <c r="K79" s="178"/>
      <c r="L79" s="179"/>
      <c r="M79" s="186"/>
      <c r="N79" s="187"/>
      <c r="O79" s="187"/>
      <c r="P79" s="183"/>
      <c r="Q79" s="187"/>
      <c r="R79" s="178"/>
      <c r="S79" s="188"/>
    </row>
    <row r="80" spans="2:19" ht="12.75">
      <c r="B80" s="177" t="s">
        <v>134</v>
      </c>
      <c r="C80" s="178"/>
      <c r="D80" s="178"/>
      <c r="E80" s="177"/>
      <c r="F80" s="178"/>
      <c r="G80" s="178"/>
      <c r="H80" s="178"/>
      <c r="I80" s="178"/>
      <c r="J80" s="178"/>
      <c r="K80" s="178"/>
      <c r="L80" s="179"/>
      <c r="M80" s="186"/>
      <c r="N80" s="183"/>
      <c r="O80" s="183"/>
      <c r="P80" s="183"/>
      <c r="Q80" s="187"/>
      <c r="R80" s="178"/>
      <c r="S80" s="188"/>
    </row>
    <row r="81" spans="2:19" ht="12.75">
      <c r="B81" s="177"/>
      <c r="C81" s="178"/>
      <c r="D81" s="178"/>
      <c r="E81" s="177"/>
      <c r="F81" s="178"/>
      <c r="G81" s="178"/>
      <c r="H81" s="178"/>
      <c r="I81" s="178"/>
      <c r="J81" s="178"/>
      <c r="K81" s="178"/>
      <c r="L81" s="179"/>
      <c r="M81" s="182"/>
      <c r="N81" s="183"/>
      <c r="O81" s="183"/>
      <c r="P81" s="183"/>
      <c r="Q81" s="183"/>
      <c r="R81" s="178"/>
      <c r="S81" s="179"/>
    </row>
    <row r="82" spans="2:19" ht="12.75">
      <c r="B82" s="177" t="s">
        <v>256</v>
      </c>
      <c r="C82" s="178"/>
      <c r="D82" s="178"/>
      <c r="E82" s="177"/>
      <c r="F82" s="178"/>
      <c r="G82" s="178"/>
      <c r="H82" s="178"/>
      <c r="I82" s="178"/>
      <c r="J82" s="178"/>
      <c r="K82" s="178"/>
      <c r="L82" s="179"/>
      <c r="M82" s="1365">
        <f>M78/$S78</f>
        <v>0.34295316099388756</v>
      </c>
      <c r="N82" s="1365">
        <f>N78/$S78</f>
        <v>0.1940753881403594</v>
      </c>
      <c r="O82" s="1365">
        <f>O78/$S78</f>
        <v>0.07813678242374622</v>
      </c>
      <c r="P82" s="1365">
        <f>P78/$S78</f>
        <v>0.2935919411761023</v>
      </c>
      <c r="Q82" s="1365">
        <f>Q78/$S78</f>
        <v>0.09124272726590445</v>
      </c>
      <c r="R82" s="1366"/>
      <c r="S82" s="1367">
        <f>SUM(M82:Q82)</f>
        <v>1</v>
      </c>
    </row>
    <row r="83" spans="2:19" ht="12.75">
      <c r="B83" s="177" t="s">
        <v>133</v>
      </c>
      <c r="C83" s="178"/>
      <c r="D83" s="178"/>
      <c r="E83" s="177"/>
      <c r="F83" s="178"/>
      <c r="G83" s="178"/>
      <c r="H83" s="178"/>
      <c r="I83" s="178"/>
      <c r="J83" s="178"/>
      <c r="K83" s="178"/>
      <c r="L83" s="179"/>
      <c r="M83" s="189"/>
      <c r="N83" s="189"/>
      <c r="O83" s="189"/>
      <c r="P83" s="189"/>
      <c r="Q83" s="189"/>
      <c r="R83" s="192"/>
      <c r="S83" s="191"/>
    </row>
    <row r="84" spans="2:19" ht="13.5" thickBot="1">
      <c r="B84" s="193" t="s">
        <v>134</v>
      </c>
      <c r="C84" s="194"/>
      <c r="D84" s="194"/>
      <c r="E84" s="193"/>
      <c r="F84" s="194"/>
      <c r="G84" s="194"/>
      <c r="H84" s="194"/>
      <c r="I84" s="194"/>
      <c r="J84" s="194"/>
      <c r="K84" s="194"/>
      <c r="L84" s="195"/>
      <c r="M84" s="189"/>
      <c r="N84" s="189"/>
      <c r="O84" s="189"/>
      <c r="P84" s="189"/>
      <c r="Q84" s="189"/>
      <c r="R84" s="196"/>
      <c r="S84" s="191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G19" sqref="G19"/>
    </sheetView>
  </sheetViews>
  <sheetFormatPr defaultColWidth="8.8515625" defaultRowHeight="12.75"/>
  <cols>
    <col min="1" max="1" width="8.140625" style="858" customWidth="1"/>
    <col min="2" max="2" width="15.421875" style="858" customWidth="1"/>
    <col min="3" max="3" width="48.7109375" style="858" bestFit="1" customWidth="1"/>
    <col min="4" max="4" width="15.421875" style="858" bestFit="1" customWidth="1"/>
    <col min="5" max="6" width="8.8515625" style="858" customWidth="1"/>
    <col min="7" max="7" width="13.8515625" style="858" customWidth="1"/>
    <col min="8" max="16384" width="8.8515625" style="858" customWidth="1"/>
  </cols>
  <sheetData>
    <row r="1" spans="1:9" ht="12.75" customHeight="1">
      <c r="A1" s="855" t="s">
        <v>851</v>
      </c>
      <c r="B1" s="856"/>
      <c r="C1" s="856"/>
      <c r="D1" s="856"/>
      <c r="E1" s="856"/>
      <c r="F1" s="857" t="s">
        <v>55</v>
      </c>
      <c r="G1" s="856"/>
      <c r="H1" s="856"/>
      <c r="I1" s="856"/>
    </row>
    <row r="2" spans="1:9" s="861" customFormat="1" ht="12.75">
      <c r="A2" s="859"/>
      <c r="B2" s="860"/>
      <c r="C2" s="860"/>
      <c r="D2" s="860"/>
      <c r="E2" s="860"/>
      <c r="F2" s="860"/>
      <c r="G2" s="860"/>
      <c r="H2" s="860"/>
      <c r="I2" s="860"/>
    </row>
    <row r="3" spans="1:9" ht="12.75">
      <c r="A3" s="855" t="s">
        <v>529</v>
      </c>
      <c r="B3" s="856"/>
      <c r="C3" s="856"/>
      <c r="D3" s="856"/>
      <c r="E3" s="856"/>
      <c r="F3" s="856"/>
      <c r="G3" s="856"/>
      <c r="H3" s="856"/>
      <c r="I3" s="856"/>
    </row>
    <row r="4" spans="1:9" ht="12.75">
      <c r="A4" s="855"/>
      <c r="B4" s="856"/>
      <c r="C4" s="856"/>
      <c r="D4" s="856"/>
      <c r="E4" s="856"/>
      <c r="F4" s="856"/>
      <c r="G4" s="856"/>
      <c r="H4" s="856"/>
      <c r="I4" s="856"/>
    </row>
    <row r="5" spans="1:7" ht="20.25">
      <c r="A5" s="1577" t="s">
        <v>530</v>
      </c>
      <c r="B5" s="1577"/>
      <c r="C5" s="1577"/>
      <c r="D5" s="826"/>
      <c r="E5" s="827"/>
      <c r="F5" s="827"/>
      <c r="G5" s="827"/>
    </row>
    <row r="6" spans="1:7" ht="15" thickBot="1">
      <c r="A6" s="828"/>
      <c r="B6" s="828"/>
      <c r="C6" s="396"/>
      <c r="D6" s="396"/>
      <c r="E6" s="829"/>
      <c r="F6" s="829"/>
      <c r="G6" s="829"/>
    </row>
    <row r="7" spans="1:9" ht="15.75" thickBot="1">
      <c r="A7" s="828"/>
      <c r="B7" s="828"/>
      <c r="C7" s="830"/>
      <c r="D7" s="831" t="s">
        <v>531</v>
      </c>
      <c r="E7" s="831" t="s">
        <v>532</v>
      </c>
      <c r="F7" s="831" t="s">
        <v>533</v>
      </c>
      <c r="G7" s="831" t="s">
        <v>529</v>
      </c>
      <c r="H7" s="858" t="s">
        <v>534</v>
      </c>
      <c r="I7" s="858" t="s">
        <v>535</v>
      </c>
    </row>
    <row r="8" spans="1:8" ht="15">
      <c r="A8" s="828"/>
      <c r="B8" s="828"/>
      <c r="C8" s="832" t="s">
        <v>864</v>
      </c>
      <c r="D8" s="833"/>
      <c r="E8" s="1578" t="s">
        <v>772</v>
      </c>
      <c r="F8" s="1579"/>
      <c r="G8" s="834"/>
      <c r="H8" s="858" t="s">
        <v>542</v>
      </c>
    </row>
    <row r="9" spans="1:7" ht="14.25">
      <c r="A9" s="828"/>
      <c r="B9" s="828"/>
      <c r="C9" s="835" t="s">
        <v>543</v>
      </c>
      <c r="D9" s="836" t="s">
        <v>663</v>
      </c>
      <c r="E9" s="837"/>
      <c r="F9" s="838"/>
      <c r="G9" s="839">
        <v>2580775</v>
      </c>
    </row>
    <row r="10" spans="1:7" ht="14.25">
      <c r="A10" s="828"/>
      <c r="B10" s="828"/>
      <c r="C10" s="835" t="s">
        <v>664</v>
      </c>
      <c r="D10" s="836" t="s">
        <v>665</v>
      </c>
      <c r="E10" s="837"/>
      <c r="F10" s="838"/>
      <c r="G10" s="839">
        <v>2119306</v>
      </c>
    </row>
    <row r="11" spans="1:7" ht="14.25">
      <c r="A11" s="828"/>
      <c r="B11" s="828"/>
      <c r="C11" s="835" t="s">
        <v>518</v>
      </c>
      <c r="D11" s="836" t="s">
        <v>519</v>
      </c>
      <c r="E11" s="837"/>
      <c r="F11" s="838"/>
      <c r="G11" s="839">
        <v>198961241</v>
      </c>
    </row>
    <row r="12" spans="1:7" ht="15.75" thickBot="1">
      <c r="A12" s="828"/>
      <c r="B12" s="828"/>
      <c r="C12" s="835"/>
      <c r="D12" s="840"/>
      <c r="E12" s="841"/>
      <c r="F12" s="842"/>
      <c r="G12" s="842"/>
    </row>
    <row r="13" spans="1:7" ht="15">
      <c r="A13" s="828"/>
      <c r="B13" s="828"/>
      <c r="C13" s="843" t="s">
        <v>776</v>
      </c>
      <c r="D13" s="833"/>
      <c r="E13" s="844"/>
      <c r="F13" s="829"/>
      <c r="G13" s="829"/>
    </row>
    <row r="14" spans="1:7" ht="14.25">
      <c r="A14" s="828"/>
      <c r="B14" s="828"/>
      <c r="C14" s="845"/>
      <c r="D14" s="836"/>
      <c r="E14" s="844"/>
      <c r="F14" s="829"/>
      <c r="G14" s="829"/>
    </row>
    <row r="15" spans="1:7" ht="14.25">
      <c r="A15" s="828"/>
      <c r="B15" s="828"/>
      <c r="C15" s="846" t="s">
        <v>777</v>
      </c>
      <c r="D15" s="836"/>
      <c r="E15" s="844"/>
      <c r="F15" s="829"/>
      <c r="G15" s="829"/>
    </row>
    <row r="16" spans="1:7" ht="14.25">
      <c r="A16" s="828"/>
      <c r="B16" s="828"/>
      <c r="C16" s="846" t="s">
        <v>871</v>
      </c>
      <c r="D16" s="836"/>
      <c r="E16" s="844"/>
      <c r="F16" s="829"/>
      <c r="G16" s="829"/>
    </row>
    <row r="17" spans="1:7" ht="14.25">
      <c r="A17" s="828"/>
      <c r="B17" s="828"/>
      <c r="C17" s="845" t="s">
        <v>872</v>
      </c>
      <c r="D17" s="836" t="s">
        <v>873</v>
      </c>
      <c r="E17" s="837"/>
      <c r="F17" s="838"/>
      <c r="G17" s="839">
        <v>0</v>
      </c>
    </row>
    <row r="18" spans="1:7" ht="14.25">
      <c r="A18" s="828"/>
      <c r="B18" s="828"/>
      <c r="C18" s="845" t="s">
        <v>874</v>
      </c>
      <c r="D18" s="836" t="s">
        <v>873</v>
      </c>
      <c r="E18" s="837"/>
      <c r="F18" s="838"/>
      <c r="G18" s="839">
        <v>17</v>
      </c>
    </row>
    <row r="19" spans="1:7" ht="14.25">
      <c r="A19" s="828"/>
      <c r="B19" s="828"/>
      <c r="C19" s="845" t="s">
        <v>875</v>
      </c>
      <c r="D19" s="836" t="s">
        <v>873</v>
      </c>
      <c r="E19" s="837"/>
      <c r="F19" s="838"/>
      <c r="G19" s="839">
        <v>29758</v>
      </c>
    </row>
    <row r="20" spans="1:7" ht="14.25">
      <c r="A20" s="828"/>
      <c r="B20" s="828"/>
      <c r="C20" s="845" t="s">
        <v>876</v>
      </c>
      <c r="D20" s="836" t="s">
        <v>873</v>
      </c>
      <c r="E20" s="837"/>
      <c r="F20" s="838"/>
      <c r="G20" s="839">
        <v>9</v>
      </c>
    </row>
    <row r="21" spans="1:7" ht="14.25">
      <c r="A21" s="828"/>
      <c r="B21" s="828"/>
      <c r="C21" s="845"/>
      <c r="D21" s="836"/>
      <c r="E21" s="844"/>
      <c r="F21" s="829"/>
      <c r="G21" s="829"/>
    </row>
    <row r="22" spans="1:7" ht="14.25">
      <c r="A22" s="828"/>
      <c r="B22" s="828"/>
      <c r="C22" s="846" t="s">
        <v>877</v>
      </c>
      <c r="D22" s="836"/>
      <c r="E22" s="844"/>
      <c r="F22" s="829"/>
      <c r="G22" s="829"/>
    </row>
    <row r="23" spans="1:7" ht="14.25">
      <c r="A23" s="828"/>
      <c r="B23" s="828"/>
      <c r="C23" s="845" t="s">
        <v>878</v>
      </c>
      <c r="D23" s="836" t="s">
        <v>879</v>
      </c>
      <c r="E23" s="837"/>
      <c r="F23" s="838"/>
      <c r="G23" s="839">
        <v>0</v>
      </c>
    </row>
    <row r="24" spans="1:7" ht="14.25">
      <c r="A24" s="828"/>
      <c r="B24" s="828"/>
      <c r="C24" s="845" t="s">
        <v>880</v>
      </c>
      <c r="D24" s="836" t="s">
        <v>879</v>
      </c>
      <c r="E24" s="837"/>
      <c r="F24" s="838"/>
      <c r="G24" s="839">
        <v>166</v>
      </c>
    </row>
    <row r="25" spans="1:7" ht="14.25">
      <c r="A25" s="828"/>
      <c r="B25" s="828"/>
      <c r="C25" s="845" t="s">
        <v>874</v>
      </c>
      <c r="D25" s="836" t="s">
        <v>879</v>
      </c>
      <c r="E25" s="837"/>
      <c r="F25" s="838"/>
      <c r="G25" s="839">
        <v>145</v>
      </c>
    </row>
    <row r="26" spans="1:7" ht="15" thickBot="1">
      <c r="A26" s="828"/>
      <c r="B26" s="828"/>
      <c r="C26" s="845" t="s">
        <v>875</v>
      </c>
      <c r="D26" s="836" t="s">
        <v>879</v>
      </c>
      <c r="E26" s="837"/>
      <c r="F26" s="838"/>
      <c r="G26" s="839">
        <v>2.2</v>
      </c>
    </row>
    <row r="27" spans="1:7" ht="15" thickBot="1">
      <c r="A27" s="828"/>
      <c r="B27" s="828"/>
      <c r="C27" s="846" t="s">
        <v>881</v>
      </c>
      <c r="D27" s="836"/>
      <c r="E27" s="847"/>
      <c r="F27" s="847"/>
      <c r="G27" s="847">
        <v>313.2</v>
      </c>
    </row>
    <row r="28" spans="1:7" ht="14.25">
      <c r="A28" s="828"/>
      <c r="B28" s="828"/>
      <c r="C28" s="845"/>
      <c r="D28" s="836"/>
      <c r="E28" s="70"/>
      <c r="F28" s="70"/>
      <c r="G28" s="70"/>
    </row>
    <row r="29" spans="1:7" ht="14.25">
      <c r="A29" s="828"/>
      <c r="B29" s="828"/>
      <c r="C29" s="846" t="s">
        <v>882</v>
      </c>
      <c r="D29" s="836"/>
      <c r="E29" s="70"/>
      <c r="F29" s="70"/>
      <c r="G29" s="70"/>
    </row>
    <row r="30" spans="1:7" ht="14.25">
      <c r="A30" s="828"/>
      <c r="B30" s="828"/>
      <c r="C30" s="845" t="s">
        <v>852</v>
      </c>
      <c r="D30" s="836" t="s">
        <v>879</v>
      </c>
      <c r="E30" s="837"/>
      <c r="F30" s="838"/>
      <c r="G30" s="839">
        <v>5635</v>
      </c>
    </row>
    <row r="31" spans="1:7" ht="14.25">
      <c r="A31" s="828"/>
      <c r="B31" s="828"/>
      <c r="C31" s="845" t="s">
        <v>853</v>
      </c>
      <c r="D31" s="836" t="s">
        <v>879</v>
      </c>
      <c r="E31" s="837"/>
      <c r="F31" s="838"/>
      <c r="G31" s="839">
        <v>5497</v>
      </c>
    </row>
    <row r="32" spans="1:7" ht="14.25">
      <c r="A32" s="828"/>
      <c r="B32" s="828"/>
      <c r="C32" s="845"/>
      <c r="D32" s="836"/>
      <c r="E32" s="70"/>
      <c r="F32" s="70"/>
      <c r="G32" s="70"/>
    </row>
    <row r="33" spans="1:7" ht="14.25">
      <c r="A33" s="828"/>
      <c r="B33" s="828"/>
      <c r="C33" s="846" t="s">
        <v>521</v>
      </c>
      <c r="D33" s="836"/>
      <c r="E33" s="70"/>
      <c r="F33" s="70"/>
      <c r="G33" s="70"/>
    </row>
    <row r="34" spans="1:7" ht="14.25">
      <c r="A34" s="828"/>
      <c r="B34" s="828"/>
      <c r="C34" s="845" t="s">
        <v>872</v>
      </c>
      <c r="D34" s="836" t="s">
        <v>522</v>
      </c>
      <c r="E34" s="837"/>
      <c r="F34" s="838"/>
      <c r="G34" s="839">
        <v>710</v>
      </c>
    </row>
    <row r="35" spans="1:7" ht="14.25">
      <c r="A35" s="828"/>
      <c r="B35" s="828"/>
      <c r="C35" s="845" t="s">
        <v>874</v>
      </c>
      <c r="D35" s="836" t="s">
        <v>522</v>
      </c>
      <c r="E35" s="837"/>
      <c r="F35" s="838"/>
      <c r="G35" s="839">
        <v>9669</v>
      </c>
    </row>
    <row r="36" spans="1:7" ht="15" thickBot="1">
      <c r="A36" s="828"/>
      <c r="B36" s="828"/>
      <c r="C36" s="845" t="s">
        <v>875</v>
      </c>
      <c r="D36" s="836" t="s">
        <v>522</v>
      </c>
      <c r="E36" s="837"/>
      <c r="F36" s="838"/>
      <c r="G36" s="839">
        <v>19286</v>
      </c>
    </row>
    <row r="37" spans="1:7" ht="15" thickBot="1">
      <c r="A37" s="828"/>
      <c r="B37" s="828"/>
      <c r="C37" s="846" t="s">
        <v>881</v>
      </c>
      <c r="D37" s="836"/>
      <c r="E37" s="847"/>
      <c r="F37" s="847"/>
      <c r="G37" s="847">
        <v>29665</v>
      </c>
    </row>
    <row r="38" spans="1:7" ht="14.25">
      <c r="A38" s="828"/>
      <c r="B38" s="828"/>
      <c r="C38" s="845"/>
      <c r="D38" s="836"/>
      <c r="E38" s="844"/>
      <c r="F38" s="829"/>
      <c r="G38" s="829"/>
    </row>
    <row r="39" spans="1:7" ht="14.25">
      <c r="A39" s="828"/>
      <c r="B39" s="828"/>
      <c r="C39" s="846" t="s">
        <v>523</v>
      </c>
      <c r="D39" s="836"/>
      <c r="E39" s="844"/>
      <c r="F39" s="829"/>
      <c r="G39" s="829"/>
    </row>
    <row r="40" spans="1:7" ht="14.25">
      <c r="A40" s="828"/>
      <c r="B40" s="828"/>
      <c r="C40" s="845" t="s">
        <v>668</v>
      </c>
      <c r="D40" s="836" t="s">
        <v>669</v>
      </c>
      <c r="E40" s="837"/>
      <c r="F40" s="838"/>
      <c r="G40" s="839">
        <v>1439</v>
      </c>
    </row>
    <row r="41" spans="1:7" ht="14.25">
      <c r="A41" s="828"/>
      <c r="B41" s="828"/>
      <c r="C41" s="845" t="s">
        <v>670</v>
      </c>
      <c r="D41" s="836" t="s">
        <v>671</v>
      </c>
      <c r="E41" s="837"/>
      <c r="F41" s="838"/>
      <c r="G41" s="848">
        <v>0.04850834316534637</v>
      </c>
    </row>
    <row r="42" spans="1:7" ht="14.25">
      <c r="A42" s="828"/>
      <c r="B42" s="828"/>
      <c r="C42" s="845"/>
      <c r="D42" s="836"/>
      <c r="E42" s="70"/>
      <c r="F42" s="70"/>
      <c r="G42" s="70"/>
    </row>
    <row r="43" spans="1:7" ht="15.75" thickBot="1">
      <c r="A43" s="828"/>
      <c r="B43" s="828"/>
      <c r="C43" s="835"/>
      <c r="D43" s="840"/>
      <c r="E43" s="841"/>
      <c r="F43" s="842"/>
      <c r="G43" s="842"/>
    </row>
    <row r="44" spans="1:7" ht="15">
      <c r="A44" s="828"/>
      <c r="B44" s="828"/>
      <c r="C44" s="843" t="s">
        <v>672</v>
      </c>
      <c r="D44" s="836"/>
      <c r="E44" s="70"/>
      <c r="F44" s="70"/>
      <c r="G44" s="70"/>
    </row>
    <row r="45" spans="1:7" ht="14.25">
      <c r="A45" s="828"/>
      <c r="B45" s="828"/>
      <c r="C45" s="845"/>
      <c r="D45" s="836"/>
      <c r="E45" s="70"/>
      <c r="F45" s="70"/>
      <c r="G45" s="70"/>
    </row>
    <row r="46" spans="1:7" ht="14.25">
      <c r="A46" s="828"/>
      <c r="B46" s="828"/>
      <c r="C46" s="846" t="s">
        <v>666</v>
      </c>
      <c r="D46" s="836"/>
      <c r="E46" s="70"/>
      <c r="F46" s="70"/>
      <c r="G46" s="70"/>
    </row>
    <row r="47" spans="1:7" ht="14.25">
      <c r="A47" s="828"/>
      <c r="B47" s="828"/>
      <c r="C47" s="845" t="s">
        <v>878</v>
      </c>
      <c r="D47" s="836" t="s">
        <v>667</v>
      </c>
      <c r="E47" s="837"/>
      <c r="F47" s="838"/>
      <c r="G47" s="849">
        <v>2384</v>
      </c>
    </row>
    <row r="48" spans="1:7" ht="14.25">
      <c r="A48" s="828"/>
      <c r="B48" s="828"/>
      <c r="C48" s="845" t="s">
        <v>880</v>
      </c>
      <c r="D48" s="836" t="s">
        <v>667</v>
      </c>
      <c r="E48" s="837"/>
      <c r="F48" s="838"/>
      <c r="G48" s="849">
        <v>2702</v>
      </c>
    </row>
    <row r="49" spans="1:7" ht="14.25">
      <c r="A49" s="828"/>
      <c r="B49" s="828"/>
      <c r="C49" s="845" t="s">
        <v>874</v>
      </c>
      <c r="D49" s="836" t="s">
        <v>667</v>
      </c>
      <c r="E49" s="837"/>
      <c r="F49" s="838"/>
      <c r="G49" s="849">
        <v>12593</v>
      </c>
    </row>
    <row r="50" spans="1:7" ht="15" thickBot="1">
      <c r="A50" s="828"/>
      <c r="B50" s="828"/>
      <c r="C50" s="845" t="s">
        <v>875</v>
      </c>
      <c r="D50" s="836" t="s">
        <v>667</v>
      </c>
      <c r="E50" s="837"/>
      <c r="F50" s="838"/>
      <c r="G50" s="849">
        <v>5071</v>
      </c>
    </row>
    <row r="51" spans="1:7" ht="15" thickBot="1">
      <c r="A51" s="828"/>
      <c r="B51" s="828"/>
      <c r="C51" s="846" t="s">
        <v>881</v>
      </c>
      <c r="D51" s="836" t="s">
        <v>667</v>
      </c>
      <c r="E51" s="847"/>
      <c r="F51" s="847"/>
      <c r="G51" s="847">
        <v>22750</v>
      </c>
    </row>
    <row r="52" spans="1:7" ht="14.25">
      <c r="A52" s="828"/>
      <c r="B52" s="828"/>
      <c r="C52" s="845"/>
      <c r="D52" s="836"/>
      <c r="E52" s="70"/>
      <c r="F52" s="70"/>
      <c r="G52" s="70"/>
    </row>
    <row r="53" spans="1:7" ht="14.25">
      <c r="A53" s="828"/>
      <c r="B53" s="828"/>
      <c r="C53" s="846" t="s">
        <v>557</v>
      </c>
      <c r="D53" s="836"/>
      <c r="E53" s="70"/>
      <c r="F53" s="70"/>
      <c r="G53" s="70"/>
    </row>
    <row r="54" spans="1:7" ht="14.25">
      <c r="A54" s="828"/>
      <c r="B54" s="828"/>
      <c r="C54" s="845" t="s">
        <v>878</v>
      </c>
      <c r="D54" s="836" t="s">
        <v>667</v>
      </c>
      <c r="E54" s="837"/>
      <c r="F54" s="838"/>
      <c r="G54" s="849">
        <v>199</v>
      </c>
    </row>
    <row r="55" spans="1:7" ht="14.25">
      <c r="A55" s="828"/>
      <c r="B55" s="828"/>
      <c r="C55" s="845" t="s">
        <v>880</v>
      </c>
      <c r="D55" s="836" t="s">
        <v>667</v>
      </c>
      <c r="E55" s="837"/>
      <c r="F55" s="838"/>
      <c r="G55" s="849">
        <v>1721</v>
      </c>
    </row>
    <row r="56" spans="1:7" ht="14.25">
      <c r="A56" s="828"/>
      <c r="B56" s="828"/>
      <c r="C56" s="845" t="s">
        <v>874</v>
      </c>
      <c r="D56" s="836" t="s">
        <v>667</v>
      </c>
      <c r="E56" s="837"/>
      <c r="F56" s="838"/>
      <c r="G56" s="849">
        <v>13288</v>
      </c>
    </row>
    <row r="57" spans="1:7" ht="15" thickBot="1">
      <c r="A57" s="828"/>
      <c r="B57" s="828"/>
      <c r="C57" s="845" t="s">
        <v>875</v>
      </c>
      <c r="D57" s="836" t="s">
        <v>667</v>
      </c>
      <c r="E57" s="837"/>
      <c r="F57" s="838"/>
      <c r="G57" s="849">
        <v>32990</v>
      </c>
    </row>
    <row r="58" spans="1:7" ht="15" thickBot="1">
      <c r="A58" s="828"/>
      <c r="B58" s="828"/>
      <c r="C58" s="845" t="s">
        <v>881</v>
      </c>
      <c r="D58" s="836" t="s">
        <v>667</v>
      </c>
      <c r="E58" s="847"/>
      <c r="F58" s="847"/>
      <c r="G58" s="847">
        <v>48198</v>
      </c>
    </row>
    <row r="59" spans="1:7" ht="14.25">
      <c r="A59" s="828"/>
      <c r="B59" s="828"/>
      <c r="C59" s="845"/>
      <c r="D59" s="836"/>
      <c r="E59" s="70"/>
      <c r="F59" s="70"/>
      <c r="G59" s="70"/>
    </row>
    <row r="60" spans="1:7" ht="14.25">
      <c r="A60" s="828"/>
      <c r="B60" s="828"/>
      <c r="C60" s="846" t="s">
        <v>558</v>
      </c>
      <c r="D60" s="836"/>
      <c r="E60" s="70"/>
      <c r="F60" s="70"/>
      <c r="G60" s="70"/>
    </row>
    <row r="61" spans="1:7" ht="14.25">
      <c r="A61" s="828"/>
      <c r="B61" s="828"/>
      <c r="C61" s="845" t="s">
        <v>878</v>
      </c>
      <c r="D61" s="836" t="s">
        <v>667</v>
      </c>
      <c r="E61" s="849"/>
      <c r="F61" s="849"/>
      <c r="G61" s="849">
        <v>2583</v>
      </c>
    </row>
    <row r="62" spans="1:7" ht="14.25">
      <c r="A62" s="828"/>
      <c r="B62" s="828"/>
      <c r="C62" s="845" t="s">
        <v>880</v>
      </c>
      <c r="D62" s="836" t="s">
        <v>667</v>
      </c>
      <c r="E62" s="849"/>
      <c r="F62" s="849"/>
      <c r="G62" s="849">
        <v>4423</v>
      </c>
    </row>
    <row r="63" spans="1:7" ht="14.25">
      <c r="A63" s="828"/>
      <c r="B63" s="828"/>
      <c r="C63" s="845" t="s">
        <v>874</v>
      </c>
      <c r="D63" s="836" t="s">
        <v>667</v>
      </c>
      <c r="E63" s="849"/>
      <c r="F63" s="849"/>
      <c r="G63" s="849">
        <v>25881</v>
      </c>
    </row>
    <row r="64" spans="1:7" ht="15" thickBot="1">
      <c r="A64" s="828"/>
      <c r="B64" s="828"/>
      <c r="C64" s="845" t="s">
        <v>875</v>
      </c>
      <c r="D64" s="836" t="s">
        <v>667</v>
      </c>
      <c r="E64" s="849"/>
      <c r="F64" s="849"/>
      <c r="G64" s="849">
        <v>38061</v>
      </c>
    </row>
    <row r="65" spans="1:7" ht="15" thickBot="1">
      <c r="A65" s="828"/>
      <c r="B65" s="828"/>
      <c r="C65" s="846" t="s">
        <v>881</v>
      </c>
      <c r="D65" s="836" t="s">
        <v>667</v>
      </c>
      <c r="E65" s="847"/>
      <c r="F65" s="847"/>
      <c r="G65" s="847">
        <v>70948</v>
      </c>
    </row>
    <row r="66" spans="1:7" ht="14.25">
      <c r="A66" s="828"/>
      <c r="B66" s="828"/>
      <c r="C66" s="845"/>
      <c r="D66" s="836"/>
      <c r="E66" s="70"/>
      <c r="F66" s="70"/>
      <c r="G66" s="70"/>
    </row>
    <row r="67" spans="1:7" ht="14.25">
      <c r="A67" s="828"/>
      <c r="B67" s="828"/>
      <c r="C67" s="846" t="s">
        <v>798</v>
      </c>
      <c r="D67" s="836"/>
      <c r="E67" s="70"/>
      <c r="F67" s="70"/>
      <c r="G67" s="70"/>
    </row>
    <row r="68" spans="1:7" ht="14.25">
      <c r="A68" s="828"/>
      <c r="B68" s="828"/>
      <c r="C68" s="845" t="s">
        <v>878</v>
      </c>
      <c r="D68" s="836" t="s">
        <v>892</v>
      </c>
      <c r="E68" s="837"/>
      <c r="F68" s="838"/>
      <c r="G68" s="839">
        <v>80</v>
      </c>
    </row>
    <row r="69" spans="1:7" ht="14.25">
      <c r="A69" s="828"/>
      <c r="B69" s="828"/>
      <c r="C69" s="845" t="s">
        <v>905</v>
      </c>
      <c r="D69" s="836" t="s">
        <v>892</v>
      </c>
      <c r="E69" s="837"/>
      <c r="F69" s="838"/>
      <c r="G69" s="839">
        <v>340</v>
      </c>
    </row>
    <row r="70" spans="1:7" ht="14.25">
      <c r="A70" s="828"/>
      <c r="B70" s="828"/>
      <c r="C70" s="845" t="s">
        <v>810</v>
      </c>
      <c r="D70" s="836" t="s">
        <v>892</v>
      </c>
      <c r="E70" s="837"/>
      <c r="F70" s="838"/>
      <c r="G70" s="839">
        <v>0</v>
      </c>
    </row>
    <row r="71" spans="1:7" ht="14.25">
      <c r="A71" s="828"/>
      <c r="B71" s="828"/>
      <c r="C71" s="845" t="s">
        <v>811</v>
      </c>
      <c r="D71" s="836" t="s">
        <v>892</v>
      </c>
      <c r="E71" s="837"/>
      <c r="F71" s="838"/>
      <c r="G71" s="839">
        <v>19981</v>
      </c>
    </row>
    <row r="72" spans="1:7" ht="15" thickBot="1">
      <c r="A72" s="828"/>
      <c r="B72" s="828"/>
      <c r="C72" s="845" t="s">
        <v>812</v>
      </c>
      <c r="D72" s="836" t="s">
        <v>892</v>
      </c>
      <c r="E72" s="837"/>
      <c r="F72" s="838"/>
      <c r="G72" s="839">
        <v>22698</v>
      </c>
    </row>
    <row r="73" spans="1:7" ht="15" thickBot="1">
      <c r="A73" s="828"/>
      <c r="B73" s="828"/>
      <c r="C73" s="846" t="s">
        <v>881</v>
      </c>
      <c r="D73" s="836" t="s">
        <v>892</v>
      </c>
      <c r="E73" s="847"/>
      <c r="F73" s="847"/>
      <c r="G73" s="847">
        <v>43099</v>
      </c>
    </row>
    <row r="74" spans="1:7" ht="15.75" thickBot="1">
      <c r="A74" s="828"/>
      <c r="B74" s="828"/>
      <c r="C74" s="841"/>
      <c r="D74" s="840"/>
      <c r="E74" s="841"/>
      <c r="F74" s="842"/>
      <c r="G74" s="842"/>
    </row>
    <row r="75" spans="1:7" ht="14.25">
      <c r="A75" s="396"/>
      <c r="B75" s="396"/>
      <c r="C75" s="396"/>
      <c r="D75" s="396"/>
      <c r="E75" s="396"/>
      <c r="F75" s="396"/>
      <c r="G75" s="396"/>
    </row>
    <row r="76" spans="1:7" ht="14.25">
      <c r="A76" s="828"/>
      <c r="B76" s="828"/>
      <c r="C76" s="396"/>
      <c r="D76" s="396"/>
      <c r="E76" s="396"/>
      <c r="F76" s="396"/>
      <c r="G76" s="396"/>
    </row>
    <row r="77" spans="1:7" ht="14.25">
      <c r="A77" s="828"/>
      <c r="B77" s="828"/>
      <c r="C77" s="396"/>
      <c r="D77" s="396"/>
      <c r="E77" s="396"/>
      <c r="F77" s="396"/>
      <c r="G77" s="396"/>
    </row>
    <row r="78" spans="1:7" ht="14.25">
      <c r="A78" s="828"/>
      <c r="B78" s="828"/>
      <c r="C78" s="396"/>
      <c r="D78" s="396"/>
      <c r="E78" s="396"/>
      <c r="F78" s="396"/>
      <c r="G78" s="396"/>
    </row>
    <row r="79" spans="1:7" ht="14.25">
      <c r="A79" s="828"/>
      <c r="B79" s="828"/>
      <c r="C79" s="396"/>
      <c r="D79" s="396"/>
      <c r="E79" s="396"/>
      <c r="F79" s="396"/>
      <c r="G79" s="396"/>
    </row>
    <row r="80" spans="1:7" ht="14.25">
      <c r="A80" s="828"/>
      <c r="B80" s="828"/>
      <c r="C80" s="396"/>
      <c r="D80" s="396"/>
      <c r="E80" s="396"/>
      <c r="F80" s="396"/>
      <c r="G80" s="396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PageLayoutView="0" workbookViewId="0" topLeftCell="A1">
      <selection activeCell="L36" sqref="L36"/>
    </sheetView>
  </sheetViews>
  <sheetFormatPr defaultColWidth="8.8515625" defaultRowHeight="12.75"/>
  <cols>
    <col min="1" max="2" width="9.421875" style="1313" customWidth="1"/>
    <col min="3" max="3" width="58.00390625" style="1313" bestFit="1" customWidth="1"/>
    <col min="4" max="4" width="14.8515625" style="1313" bestFit="1" customWidth="1"/>
    <col min="5" max="6" width="7.7109375" style="1313" bestFit="1" customWidth="1"/>
    <col min="7" max="7" width="7.7109375" style="1313" customWidth="1"/>
    <col min="8" max="8" width="6.421875" style="1313" bestFit="1" customWidth="1"/>
    <col min="9" max="9" width="11.8515625" style="1313" customWidth="1"/>
    <col min="10" max="10" width="11.8515625" style="117" customWidth="1"/>
    <col min="11" max="11" width="7.7109375" style="1313" customWidth="1"/>
    <col min="12" max="12" width="20.421875" style="1313" bestFit="1" customWidth="1"/>
    <col min="13" max="13" width="11.421875" style="1313" customWidth="1"/>
    <col min="14" max="14" width="18.8515625" style="1313" customWidth="1"/>
    <col min="15" max="15" width="7.421875" style="1313" customWidth="1"/>
    <col min="16" max="16" width="8.00390625" style="1313" bestFit="1" customWidth="1"/>
    <col min="17" max="18" width="8.00390625" style="1313" customWidth="1"/>
    <col min="19" max="19" width="17.8515625" style="1313" customWidth="1"/>
    <col min="20" max="20" width="7.7109375" style="1313" bestFit="1" customWidth="1"/>
    <col min="21" max="21" width="7.7109375" style="1313" customWidth="1"/>
    <col min="22" max="23" width="18.140625" style="1313" customWidth="1"/>
    <col min="24" max="24" width="24.28125" style="1313" customWidth="1"/>
    <col min="25" max="25" width="13.140625" style="1313" customWidth="1"/>
    <col min="26" max="26" width="10.28125" style="1313" customWidth="1"/>
    <col min="27" max="27" width="7.28125" style="1313" customWidth="1"/>
    <col min="28" max="28" width="8.7109375" style="1313" customWidth="1"/>
    <col min="29" max="29" width="6.8515625" style="1313" customWidth="1"/>
    <col min="30" max="30" width="27.00390625" style="1313" customWidth="1"/>
    <col min="31" max="34" width="13.7109375" style="1313" customWidth="1"/>
    <col min="35" max="35" width="15.00390625" style="1313" customWidth="1"/>
    <col min="36" max="36" width="16.421875" style="1313" customWidth="1"/>
    <col min="37" max="37" width="26.7109375" style="1313" customWidth="1"/>
    <col min="38" max="38" width="7.7109375" style="1313" bestFit="1" customWidth="1"/>
    <col min="39" max="39" width="7.7109375" style="1313" customWidth="1"/>
    <col min="40" max="40" width="23.7109375" style="1313" customWidth="1"/>
    <col min="41" max="41" width="12.140625" style="1313" customWidth="1"/>
    <col min="42" max="42" width="10.8515625" style="1313" customWidth="1"/>
    <col min="43" max="43" width="13.421875" style="1313" customWidth="1"/>
    <col min="44" max="45" width="9.421875" style="1313" customWidth="1"/>
    <col min="46" max="46" width="23.421875" style="1313" customWidth="1"/>
    <col min="47" max="47" width="6.8515625" style="1313" bestFit="1" customWidth="1"/>
    <col min="48" max="49" width="7.28125" style="1313" customWidth="1"/>
    <col min="50" max="50" width="23.421875" style="1313" bestFit="1" customWidth="1"/>
    <col min="51" max="51" width="4.28125" style="1313" customWidth="1"/>
    <col min="52" max="52" width="22.7109375" style="1313" bestFit="1" customWidth="1"/>
    <col min="53" max="53" width="24.140625" style="1313" customWidth="1"/>
    <col min="54" max="16384" width="8.8515625" style="1313" customWidth="1"/>
  </cols>
  <sheetData>
    <row r="1" ht="12.75">
      <c r="A1" s="857" t="s">
        <v>55</v>
      </c>
    </row>
    <row r="2" spans="4:44" s="1314" customFormat="1" ht="63.75" customHeight="1" thickBot="1">
      <c r="D2" s="1412" t="s">
        <v>211</v>
      </c>
      <c r="E2" s="1412"/>
      <c r="F2" s="1412"/>
      <c r="G2" s="1412"/>
      <c r="H2" s="1412"/>
      <c r="I2" s="1412"/>
      <c r="J2" s="268"/>
      <c r="L2" s="1412" t="s">
        <v>99</v>
      </c>
      <c r="M2" s="1412"/>
      <c r="N2" s="1412"/>
      <c r="O2" s="1412"/>
      <c r="P2" s="1412"/>
      <c r="S2" s="1412" t="s">
        <v>104</v>
      </c>
      <c r="T2" s="1412"/>
      <c r="U2" s="1412"/>
      <c r="V2" s="1412"/>
      <c r="Y2" s="1412" t="s">
        <v>300</v>
      </c>
      <c r="Z2" s="1412"/>
      <c r="AA2" s="1412"/>
      <c r="AB2" s="1412"/>
      <c r="AE2" s="1412" t="s">
        <v>377</v>
      </c>
      <c r="AF2" s="1412"/>
      <c r="AG2" s="1412"/>
      <c r="AH2" s="1412"/>
      <c r="AJ2" s="1412" t="s">
        <v>224</v>
      </c>
      <c r="AK2" s="1412"/>
      <c r="AL2" s="1412"/>
      <c r="AM2" s="1412"/>
      <c r="AN2" s="1412"/>
      <c r="AO2" s="1412"/>
      <c r="AP2" s="1412"/>
      <c r="AQ2" s="1412"/>
      <c r="AR2" s="1412"/>
    </row>
    <row r="3" spans="1:53" s="70" customFormat="1" ht="24" customHeight="1">
      <c r="A3" s="65"/>
      <c r="B3" s="66"/>
      <c r="C3" s="66"/>
      <c r="D3" s="133"/>
      <c r="E3" s="1413" t="s">
        <v>317</v>
      </c>
      <c r="F3" s="1414"/>
      <c r="G3" s="1414"/>
      <c r="H3" s="1414"/>
      <c r="I3" s="1415"/>
      <c r="J3" s="110"/>
      <c r="K3" s="67"/>
      <c r="L3" s="1425" t="s">
        <v>96</v>
      </c>
      <c r="M3" s="1426"/>
      <c r="N3" s="1426"/>
      <c r="O3" s="1426"/>
      <c r="P3" s="1427"/>
      <c r="Q3" s="68"/>
      <c r="R3" s="68"/>
      <c r="S3" s="1425" t="s">
        <v>281</v>
      </c>
      <c r="T3" s="1426"/>
      <c r="U3" s="1426"/>
      <c r="V3" s="1427"/>
      <c r="W3" s="127"/>
      <c r="X3" s="66"/>
      <c r="Y3" s="1428" t="s">
        <v>466</v>
      </c>
      <c r="Z3" s="1421"/>
      <c r="AA3" s="1421"/>
      <c r="AB3" s="1422"/>
      <c r="AC3" s="69"/>
      <c r="AD3" s="127"/>
      <c r="AE3" s="1423" t="s">
        <v>474</v>
      </c>
      <c r="AF3" s="1424"/>
      <c r="AG3" s="1424"/>
      <c r="AH3" s="1424"/>
      <c r="AI3" s="157"/>
      <c r="AJ3" s="1419" t="s">
        <v>95</v>
      </c>
      <c r="AK3" s="1417"/>
      <c r="AL3" s="1418"/>
      <c r="AM3" s="68"/>
      <c r="AN3" s="68"/>
      <c r="AO3" s="1420" t="s">
        <v>492</v>
      </c>
      <c r="AP3" s="1421"/>
      <c r="AQ3" s="1421"/>
      <c r="AR3" s="1422"/>
      <c r="AS3" s="161"/>
      <c r="AT3" s="69"/>
      <c r="AU3" s="1416" t="s">
        <v>366</v>
      </c>
      <c r="AV3" s="1417"/>
      <c r="AW3" s="1417"/>
      <c r="AX3" s="1418"/>
      <c r="AZ3" s="71"/>
      <c r="BA3" s="71"/>
    </row>
    <row r="4" spans="1:53" s="101" customFormat="1" ht="63.75" customHeight="1">
      <c r="A4" s="95"/>
      <c r="B4" s="96"/>
      <c r="C4" s="96"/>
      <c r="D4" s="99" t="s">
        <v>123</v>
      </c>
      <c r="E4" s="1435" t="s">
        <v>209</v>
      </c>
      <c r="F4" s="1436"/>
      <c r="G4" s="1436"/>
      <c r="H4" s="1436"/>
      <c r="I4" s="100" t="s">
        <v>124</v>
      </c>
      <c r="J4" s="111"/>
      <c r="K4" s="96"/>
      <c r="L4" s="120" t="s">
        <v>258</v>
      </c>
      <c r="M4" s="1430" t="s">
        <v>237</v>
      </c>
      <c r="N4" s="1431"/>
      <c r="O4" s="1431"/>
      <c r="P4" s="1432"/>
      <c r="Q4" s="73"/>
      <c r="R4" s="97"/>
      <c r="S4" s="137"/>
      <c r="T4" s="138"/>
      <c r="U4" s="138"/>
      <c r="V4" s="139"/>
      <c r="W4" s="96"/>
      <c r="X4" s="97"/>
      <c r="Y4" s="137"/>
      <c r="Z4" s="138"/>
      <c r="AA4" s="138"/>
      <c r="AB4" s="139"/>
      <c r="AC4" s="97"/>
      <c r="AD4" s="97"/>
      <c r="AE4" s="137"/>
      <c r="AF4" s="138"/>
      <c r="AG4" s="138"/>
      <c r="AH4" s="139"/>
      <c r="AI4" s="97"/>
      <c r="AJ4" s="1315" t="s">
        <v>182</v>
      </c>
      <c r="AK4" s="97" t="s">
        <v>373</v>
      </c>
      <c r="AL4" s="98" t="s">
        <v>372</v>
      </c>
      <c r="AM4" s="96"/>
      <c r="AN4" s="96"/>
      <c r="AO4" s="258" t="s">
        <v>880</v>
      </c>
      <c r="AP4" s="235" t="s">
        <v>874</v>
      </c>
      <c r="AQ4" s="235" t="s">
        <v>367</v>
      </c>
      <c r="AR4" s="259" t="s">
        <v>875</v>
      </c>
      <c r="AS4" s="97"/>
      <c r="AT4" s="97"/>
      <c r="AU4" s="258" t="s">
        <v>880</v>
      </c>
      <c r="AV4" s="235" t="s">
        <v>874</v>
      </c>
      <c r="AW4" s="235" t="s">
        <v>367</v>
      </c>
      <c r="AX4" s="259" t="s">
        <v>875</v>
      </c>
      <c r="AZ4" s="253"/>
      <c r="BA4" s="102"/>
    </row>
    <row r="5" spans="1:53" s="101" customFormat="1" ht="15">
      <c r="A5" s="96"/>
      <c r="B5" s="96"/>
      <c r="C5" s="96"/>
      <c r="D5" s="99"/>
      <c r="E5" s="97" t="s">
        <v>880</v>
      </c>
      <c r="F5" s="97" t="s">
        <v>874</v>
      </c>
      <c r="G5" s="97" t="s">
        <v>367</v>
      </c>
      <c r="H5" s="97" t="s">
        <v>875</v>
      </c>
      <c r="I5" s="100"/>
      <c r="J5" s="111"/>
      <c r="K5" s="96"/>
      <c r="L5" s="131"/>
      <c r="M5" s="132" t="s">
        <v>880</v>
      </c>
      <c r="N5" s="131" t="s">
        <v>874</v>
      </c>
      <c r="O5" s="131" t="s">
        <v>367</v>
      </c>
      <c r="P5" s="131" t="s">
        <v>875</v>
      </c>
      <c r="Q5" s="73"/>
      <c r="R5" s="97"/>
      <c r="S5" s="135" t="s">
        <v>880</v>
      </c>
      <c r="T5" s="128" t="s">
        <v>874</v>
      </c>
      <c r="U5" s="128" t="s">
        <v>367</v>
      </c>
      <c r="V5" s="136" t="s">
        <v>875</v>
      </c>
      <c r="W5" s="97"/>
      <c r="X5" s="97"/>
      <c r="Y5" s="229" t="s">
        <v>880</v>
      </c>
      <c r="Z5" s="230" t="s">
        <v>874</v>
      </c>
      <c r="AA5" s="230" t="s">
        <v>367</v>
      </c>
      <c r="AB5" s="231" t="s">
        <v>875</v>
      </c>
      <c r="AC5" s="97"/>
      <c r="AD5" s="97"/>
      <c r="AE5" s="229" t="s">
        <v>880</v>
      </c>
      <c r="AF5" s="230" t="s">
        <v>874</v>
      </c>
      <c r="AG5" s="230" t="s">
        <v>367</v>
      </c>
      <c r="AH5" s="231" t="s">
        <v>875</v>
      </c>
      <c r="AI5" s="97"/>
      <c r="AJ5" s="1316"/>
      <c r="AK5" s="235"/>
      <c r="AL5" s="139"/>
      <c r="AM5" s="96"/>
      <c r="AN5" s="96"/>
      <c r="AO5" s="258"/>
      <c r="AP5" s="235"/>
      <c r="AQ5" s="235"/>
      <c r="AR5" s="259"/>
      <c r="AS5" s="97"/>
      <c r="AT5" s="97"/>
      <c r="AU5" s="258"/>
      <c r="AV5" s="235"/>
      <c r="AW5" s="235"/>
      <c r="AX5" s="259"/>
      <c r="AZ5" s="253"/>
      <c r="BA5" s="102"/>
    </row>
    <row r="6" spans="1:53" s="70" customFormat="1" ht="51" customHeight="1">
      <c r="A6" s="90" t="s">
        <v>368</v>
      </c>
      <c r="B6" s="80" t="s">
        <v>393</v>
      </c>
      <c r="C6" s="106" t="s">
        <v>219</v>
      </c>
      <c r="D6" s="120">
        <f>'RRP 1.3'!D$12</f>
        <v>46.45952480885201</v>
      </c>
      <c r="E6" s="120">
        <f>'RRP 2.4'!L13+'RRP 2.4'!L14+'RRP 2.4'!L18+'RRP 2.4'!L19</f>
        <v>30.92573349306207</v>
      </c>
      <c r="F6" s="120">
        <f>'RRP 2.4'!L12+'RRP 2.4'!L17-'Calc - WPD Opex Allocation'!G6</f>
        <v>36.86</v>
      </c>
      <c r="G6" s="120">
        <v>0</v>
      </c>
      <c r="H6" s="120">
        <f>'RRP 2.4'!L11+'RRP 2.4'!L16+'RRP 2.4'!L24</f>
        <v>-21.4</v>
      </c>
      <c r="I6" s="120">
        <f aca="true" t="shared" si="0" ref="I6:I39">D6-E6-F6-G6-H6</f>
        <v>0.07379131578993992</v>
      </c>
      <c r="J6" s="118"/>
      <c r="K6" s="73"/>
      <c r="L6" s="120" t="s">
        <v>195</v>
      </c>
      <c r="M6" s="227">
        <f>IF(ISERROR(VLOOKUP($L6,'Calc-Drivers'!$B$17:$F$27,M$42,FALSE))," ",VLOOKUP($L6,'Calc-Drivers'!$B$17:$F$27,M$42,FALSE))</f>
        <v>0.3874734304826183</v>
      </c>
      <c r="N6" s="227">
        <f>IF(ISERROR(VLOOKUP($L6,'Calc-Drivers'!$B$17:$F$27,N$42,FALSE))," ",VLOOKUP($L6,'Calc-Drivers'!$B$17:$F$27,N$42,FALSE))</f>
        <v>0.11030677919037249</v>
      </c>
      <c r="O6" s="227">
        <f>IF(ISERROR(VLOOKUP($L6,'Calc-Drivers'!$B$17:$F$27,O$42,FALSE))," ",VLOOKUP($L6,'Calc-Drivers'!$B$17:$F$27,O$42,FALSE))</f>
        <v>0.03400429288224294</v>
      </c>
      <c r="P6" s="227">
        <f>IF(ISERROR(VLOOKUP($L6,'Calc-Drivers'!$B$17:$F$27,P$42,FALSE))," ",VLOOKUP($L6,'Calc-Drivers'!$B$17:$F$27,P$42,FALSE))</f>
        <v>0.4682154974447662</v>
      </c>
      <c r="Q6" s="148"/>
      <c r="R6" s="75"/>
      <c r="S6" s="144">
        <f aca="true" t="shared" si="1" ref="S6:V38">IF(ISERROR($I6*M6)," ",$I6*M6)</f>
        <v>0.028592174268954218</v>
      </c>
      <c r="T6" s="144">
        <f t="shared" si="1"/>
        <v>0.00813968237700795</v>
      </c>
      <c r="U6" s="144">
        <f t="shared" si="1"/>
        <v>0.0025092215142871947</v>
      </c>
      <c r="V6" s="140">
        <f t="shared" si="1"/>
        <v>0.03455023762969055</v>
      </c>
      <c r="W6" s="77"/>
      <c r="X6" s="71"/>
      <c r="Y6" s="76">
        <f aca="true" t="shared" si="2" ref="Y6:AB38">IF($L6="Do not allocate"," ",S6+E6)</f>
        <v>30.954325667331023</v>
      </c>
      <c r="Z6" s="76">
        <f t="shared" si="2"/>
        <v>36.868139682377006</v>
      </c>
      <c r="AA6" s="76">
        <f t="shared" si="2"/>
        <v>0.0025092215142871947</v>
      </c>
      <c r="AB6" s="141">
        <f t="shared" si="2"/>
        <v>-21.365449762370307</v>
      </c>
      <c r="AC6" s="77"/>
      <c r="AD6" s="77"/>
      <c r="AE6" s="78">
        <f>IF(ISERROR(Y6*100000000/'Calc-Units'!$E$21)," ",Y6*100000000/'Calc-Units'!$E$21)</f>
        <v>0.10541259361482816</v>
      </c>
      <c r="AF6" s="78">
        <f>IF(ISERROR(Z6*100000000/'Calc-Units'!$D$21)," ",Z6*100000000/'Calc-Units'!$D$21)</f>
        <v>0.12852895932057326</v>
      </c>
      <c r="AG6" s="78">
        <f>IF(ISERROR(AA6*100000000/'Calc-Units'!$C$21)," ",AA6*100000000/'Calc-Units'!$C$21)</f>
        <v>1.3010585472815486E-05</v>
      </c>
      <c r="AH6" s="232">
        <f>IF(ISERROR(AB6*100000000/'Calc-Units'!$C$21)," ",AB6*100000000/'Calc-Units'!$C$21)</f>
        <v>-0.11078217236529248</v>
      </c>
      <c r="AI6" s="79"/>
      <c r="AJ6" s="72">
        <v>1</v>
      </c>
      <c r="AK6" s="73">
        <f aca="true" t="shared" si="3" ref="AK6:AK38">AJ6*D6</f>
        <v>46.45952480885201</v>
      </c>
      <c r="AL6" s="74">
        <f aca="true" t="shared" si="4" ref="AL6:AL38">D6*(1-AJ6)</f>
        <v>0</v>
      </c>
      <c r="AM6" s="73"/>
      <c r="AN6" s="73"/>
      <c r="AO6" s="76">
        <f>IF(ISERROR(Y6*(1-$AJ6))," ",Y6*(1-$AJ6))</f>
        <v>0</v>
      </c>
      <c r="AP6" s="76">
        <f>IF(ISERROR(Z6*(1-$AJ6))," ",Z6*(1-$AJ6))</f>
        <v>0</v>
      </c>
      <c r="AQ6" s="76">
        <f>IF(ISERROR(AA6*(1-$AJ6))," ",AA6*(1-$AJ6))</f>
        <v>0</v>
      </c>
      <c r="AR6" s="141">
        <f>IF(ISERROR(AB6*(1-$AJ6))," ",AB6*(1-$AJ6))</f>
        <v>0</v>
      </c>
      <c r="AS6" s="77"/>
      <c r="AT6" s="79"/>
      <c r="AU6" s="256">
        <f>IF(ISERROR(AO6*100000000/'Calc-Units'!$E$21)," ",AO6*100000000/'Calc-Units'!$E$21)</f>
        <v>0</v>
      </c>
      <c r="AV6" s="256">
        <f>IF(ISERROR(AP6*100000000/'Calc-Units'!$D$21)," ",AP6*100000000/'Calc-Units'!$D$21)</f>
        <v>0</v>
      </c>
      <c r="AW6" s="256">
        <f>IF(ISERROR(AQ6*100000000/'Calc-Units'!$C$21)," ",AQ6*100000000/'Calc-Units'!$C$21)</f>
        <v>0</v>
      </c>
      <c r="AX6" s="257">
        <f>IF(ISERROR(AR6*100000000/'Calc-Units'!$C$21)," ",AR6*100000000/'Calc-Units'!$C$21)</f>
        <v>0</v>
      </c>
      <c r="AZ6" s="83"/>
      <c r="BA6" s="71"/>
    </row>
    <row r="7" spans="1:53" s="70" customFormat="1" ht="12.75">
      <c r="A7" s="88"/>
      <c r="B7" s="80"/>
      <c r="C7" s="107" t="s">
        <v>171</v>
      </c>
      <c r="D7" s="119">
        <f>'RRP 1.3'!E$12</f>
        <v>62.53166748561878</v>
      </c>
      <c r="E7" s="151">
        <f>SUM('RRP 2.4'!G44:G55)+'RRP 2.4'!G71+'RRP 2.4'!H71</f>
        <v>16.692705678966107</v>
      </c>
      <c r="F7" s="119">
        <f>SUM('RRP 2.4'!G38:G40)+'RRP 2.4'!F71</f>
        <v>16.974055325584295</v>
      </c>
      <c r="G7" s="119">
        <f>'RRP 2.4'!G41+'RRP 2.4'!G42+'RRP 2.4'!G43</f>
        <v>10.149980671044496</v>
      </c>
      <c r="H7" s="119">
        <f>SUM('RRP 2.4'!G31:G37)+'RRP 2.4'!E71</f>
        <v>14.450237342257196</v>
      </c>
      <c r="I7" s="119">
        <f t="shared" si="0"/>
        <v>4.264688467766689</v>
      </c>
      <c r="J7" s="118"/>
      <c r="K7" s="73"/>
      <c r="L7" s="119" t="s">
        <v>195</v>
      </c>
      <c r="M7" s="134">
        <f>IF(ISERROR(VLOOKUP($L7,'Calc-Drivers'!$B$17:$F$27,M$42,FALSE))," ",VLOOKUP($L7,'Calc-Drivers'!$B$17:$F$27,M$42,FALSE))</f>
        <v>0.3874734304826183</v>
      </c>
      <c r="N7" s="134">
        <f>IF(ISERROR(VLOOKUP($L7,'Calc-Drivers'!$B$17:$F$27,N$42,FALSE))," ",VLOOKUP($L7,'Calc-Drivers'!$B$17:$F$27,N$42,FALSE))</f>
        <v>0.11030677919037249</v>
      </c>
      <c r="O7" s="134">
        <f>IF(ISERROR(VLOOKUP($L7,'Calc-Drivers'!$B$17:$F$27,O$42,FALSE))," ",VLOOKUP($L7,'Calc-Drivers'!$B$17:$F$27,O$42,FALSE))</f>
        <v>0.03400429288224294</v>
      </c>
      <c r="P7" s="134">
        <f>IF(ISERROR(VLOOKUP($L7,'Calc-Drivers'!$B$17:$F$27,P$42,FALSE))," ",VLOOKUP($L7,'Calc-Drivers'!$B$17:$F$27,P$42,FALSE))</f>
        <v>0.4682154974447662</v>
      </c>
      <c r="Q7" s="148"/>
      <c r="R7" s="75"/>
      <c r="S7" s="76">
        <f t="shared" si="1"/>
        <v>1.65245347054522</v>
      </c>
      <c r="T7" s="76">
        <f t="shared" si="1"/>
        <v>0.4704240491296681</v>
      </c>
      <c r="U7" s="76">
        <f t="shared" si="1"/>
        <v>0.14501771570946237</v>
      </c>
      <c r="V7" s="141">
        <f t="shared" si="1"/>
        <v>1.996793232382338</v>
      </c>
      <c r="W7" s="77"/>
      <c r="X7" s="71"/>
      <c r="Y7" s="76">
        <f t="shared" si="2"/>
        <v>18.345159149511325</v>
      </c>
      <c r="Z7" s="76">
        <f t="shared" si="2"/>
        <v>17.444479374713964</v>
      </c>
      <c r="AA7" s="76">
        <f t="shared" si="2"/>
        <v>10.294998386753958</v>
      </c>
      <c r="AB7" s="141">
        <f t="shared" si="2"/>
        <v>16.447030574639534</v>
      </c>
      <c r="AC7" s="77"/>
      <c r="AD7" s="77"/>
      <c r="AE7" s="78">
        <f>IF(ISERROR(Y7*100000000/'Calc-Units'!$E$21)," ",Y7*100000000/'Calc-Units'!$E$21)</f>
        <v>0.062473039374516696</v>
      </c>
      <c r="AF7" s="78">
        <f>IF(ISERROR(Z7*100000000/'Calc-Units'!$D$21)," ",Z7*100000000/'Calc-Units'!$D$21)</f>
        <v>0.06081458948667609</v>
      </c>
      <c r="AG7" s="78">
        <f>IF(ISERROR(AA7*100000000/'Calc-Units'!$C$21)," ",AA7*100000000/'Calc-Units'!$C$21)</f>
        <v>0.05338068229157917</v>
      </c>
      <c r="AH7" s="232">
        <f>IF(ISERROR(AB7*100000000/'Calc-Units'!$C$21)," ",AB7*100000000/'Calc-Units'!$C$21)</f>
        <v>0.08527963587389575</v>
      </c>
      <c r="AI7" s="79"/>
      <c r="AJ7" s="72">
        <v>1</v>
      </c>
      <c r="AK7" s="73">
        <f t="shared" si="3"/>
        <v>62.53166748561878</v>
      </c>
      <c r="AL7" s="74">
        <f t="shared" si="4"/>
        <v>0</v>
      </c>
      <c r="AM7" s="73"/>
      <c r="AN7" s="73"/>
      <c r="AO7" s="76">
        <f aca="true" t="shared" si="5" ref="AO7:AR38">IF(ISERROR(Y7*(1-$AJ7))," ",Y7*(1-$AJ7))</f>
        <v>0</v>
      </c>
      <c r="AP7" s="76">
        <f t="shared" si="5"/>
        <v>0</v>
      </c>
      <c r="AQ7" s="76">
        <f t="shared" si="5"/>
        <v>0</v>
      </c>
      <c r="AR7" s="141">
        <f t="shared" si="5"/>
        <v>0</v>
      </c>
      <c r="AS7" s="77"/>
      <c r="AT7" s="79"/>
      <c r="AU7" s="78">
        <f>IF(ISERROR(AO7*100000000/'Calc-Units'!$E$21)," ",AO7*100000000/'Calc-Units'!$E$21)</f>
        <v>0</v>
      </c>
      <c r="AV7" s="78">
        <f>IF(ISERROR(AP7*100000000/'Calc-Units'!$D$21)," ",AP7*100000000/'Calc-Units'!$D$21)</f>
        <v>0</v>
      </c>
      <c r="AW7" s="78">
        <f>IF(ISERROR(AQ7*100000000/'Calc-Units'!$C$21)," ",AQ7*100000000/'Calc-Units'!$C$21)</f>
        <v>0</v>
      </c>
      <c r="AX7" s="232">
        <f>IF(ISERROR(AR7*100000000/'Calc-Units'!$C$21)," ",AR7*100000000/'Calc-Units'!$C$21)</f>
        <v>0</v>
      </c>
      <c r="AZ7" s="83"/>
      <c r="BA7" s="71"/>
    </row>
    <row r="8" spans="1:53" s="70" customFormat="1" ht="12.75">
      <c r="A8" s="88"/>
      <c r="B8" s="80"/>
      <c r="C8" s="107" t="s">
        <v>172</v>
      </c>
      <c r="D8" s="119">
        <f>'RRP 1.3'!F$12</f>
        <v>2.3969412916799993</v>
      </c>
      <c r="E8" s="119">
        <v>0</v>
      </c>
      <c r="F8" s="119">
        <v>0</v>
      </c>
      <c r="G8" s="119">
        <v>0</v>
      </c>
      <c r="H8" s="119">
        <v>0</v>
      </c>
      <c r="I8" s="119">
        <f t="shared" si="0"/>
        <v>2.3969412916799993</v>
      </c>
      <c r="J8" s="112"/>
      <c r="K8" s="73"/>
      <c r="L8" s="119" t="s">
        <v>195</v>
      </c>
      <c r="M8" s="134">
        <f>IF(ISERROR(VLOOKUP($L8,'Calc-Drivers'!$B$17:$F$27,M$42,FALSE))," ",VLOOKUP($L8,'Calc-Drivers'!$B$17:$F$27,M$42,FALSE))</f>
        <v>0.3874734304826183</v>
      </c>
      <c r="N8" s="134">
        <f>IF(ISERROR(VLOOKUP($L8,'Calc-Drivers'!$B$17:$F$27,N$42,FALSE))," ",VLOOKUP($L8,'Calc-Drivers'!$B$17:$F$27,N$42,FALSE))</f>
        <v>0.11030677919037249</v>
      </c>
      <c r="O8" s="134">
        <f>IF(ISERROR(VLOOKUP($L8,'Calc-Drivers'!$B$17:$F$27,O$42,FALSE))," ",VLOOKUP($L8,'Calc-Drivers'!$B$17:$F$27,O$42,FALSE))</f>
        <v>0.03400429288224294</v>
      </c>
      <c r="P8" s="134">
        <f>IF(ISERROR(VLOOKUP($L8,'Calc-Drivers'!$B$17:$F$27,P$42,FALSE))," ",VLOOKUP($L8,'Calc-Drivers'!$B$17:$F$27,P$42,FALSE))</f>
        <v>0.4682154974447662</v>
      </c>
      <c r="Q8" s="148"/>
      <c r="R8" s="75"/>
      <c r="S8" s="76">
        <f t="shared" si="1"/>
        <v>0.9287510649526874</v>
      </c>
      <c r="T8" s="76">
        <f t="shared" si="1"/>
        <v>0.2643988737936319</v>
      </c>
      <c r="U8" s="76">
        <f t="shared" si="1"/>
        <v>0.08150629370382839</v>
      </c>
      <c r="V8" s="141">
        <f t="shared" si="1"/>
        <v>1.1222850592298512</v>
      </c>
      <c r="W8" s="77"/>
      <c r="X8" s="71"/>
      <c r="Y8" s="76">
        <f t="shared" si="2"/>
        <v>0.9287510649526874</v>
      </c>
      <c r="Z8" s="76">
        <f t="shared" si="2"/>
        <v>0.2643988737936319</v>
      </c>
      <c r="AA8" s="76">
        <f t="shared" si="2"/>
        <v>0.08150629370382839</v>
      </c>
      <c r="AB8" s="141">
        <f t="shared" si="2"/>
        <v>1.1222850592298512</v>
      </c>
      <c r="AC8" s="77"/>
      <c r="AD8" s="77"/>
      <c r="AE8" s="78">
        <f>IF(ISERROR(Y8*100000000/'Calc-Units'!$E$21)," ",Y8*100000000/'Calc-Units'!$E$21)</f>
        <v>0.003162790869081075</v>
      </c>
      <c r="AF8" s="78">
        <f>IF(ISERROR(Z8*100000000/'Calc-Units'!$D$21)," ",Z8*100000000/'Calc-Units'!$D$21)</f>
        <v>0.0009217419806638888</v>
      </c>
      <c r="AG8" s="78">
        <f>IF(ISERROR(AA8*100000000/'Calc-Units'!$C$21)," ",AA8*100000000/'Calc-Units'!$C$21)</f>
        <v>0.00042261896559073105</v>
      </c>
      <c r="AH8" s="232">
        <f>IF(ISERROR(AB8*100000000/'Calc-Units'!$C$21)," ",AB8*100000000/'Calc-Units'!$C$21)</f>
        <v>0.005819169652752521</v>
      </c>
      <c r="AI8" s="79"/>
      <c r="AJ8" s="72">
        <v>0.235</v>
      </c>
      <c r="AK8" s="73">
        <f t="shared" si="3"/>
        <v>0.5632812035447998</v>
      </c>
      <c r="AL8" s="74">
        <f t="shared" si="4"/>
        <v>1.8336600881351994</v>
      </c>
      <c r="AM8" s="73"/>
      <c r="AN8" s="73"/>
      <c r="AO8" s="76">
        <f t="shared" si="5"/>
        <v>0.7104945646888059</v>
      </c>
      <c r="AP8" s="76">
        <f t="shared" si="5"/>
        <v>0.20226513845212843</v>
      </c>
      <c r="AQ8" s="76">
        <f t="shared" si="5"/>
        <v>0.06235231468342872</v>
      </c>
      <c r="AR8" s="141">
        <f t="shared" si="5"/>
        <v>0.8585480703108362</v>
      </c>
      <c r="AS8" s="77"/>
      <c r="AT8" s="79"/>
      <c r="AU8" s="78">
        <f>IF(ISERROR(AO8*100000000/'Calc-Units'!$E$21)," ",AO8*100000000/'Calc-Units'!$E$21)</f>
        <v>0.0024195350148470225</v>
      </c>
      <c r="AV8" s="78">
        <f>IF(ISERROR(AP8*100000000/'Calc-Units'!$D$21)," ",AP8*100000000/'Calc-Units'!$D$21)</f>
        <v>0.000705132615207875</v>
      </c>
      <c r="AW8" s="78">
        <f>IF(ISERROR(AQ8*100000000/'Calc-Units'!$C$21)," ",AQ8*100000000/'Calc-Units'!$C$21)</f>
        <v>0.0003233035086769093</v>
      </c>
      <c r="AX8" s="232">
        <f>IF(ISERROR(AR8*100000000/'Calc-Units'!$C$21)," ",AR8*100000000/'Calc-Units'!$C$21)</f>
        <v>0.0044516647843556795</v>
      </c>
      <c r="AZ8" s="83"/>
      <c r="BA8" s="71"/>
    </row>
    <row r="9" spans="1:53" s="70" customFormat="1" ht="12.75">
      <c r="A9" s="88"/>
      <c r="B9" s="80"/>
      <c r="C9" s="107" t="s">
        <v>739</v>
      </c>
      <c r="D9" s="119">
        <f>'RRP 1.3'!G$12</f>
        <v>26.514424209436648</v>
      </c>
      <c r="E9" s="119">
        <f>SUM('RRP 2.3'!I20:I27)</f>
        <v>1.5815681672983535</v>
      </c>
      <c r="F9" s="119">
        <f>SUM('RRP 2.3'!I17:I18)</f>
        <v>6.265825346102488</v>
      </c>
      <c r="G9" s="119">
        <f>SUM('RRP 2.3'!I19)</f>
        <v>0.5505005436477161</v>
      </c>
      <c r="H9" s="119">
        <f>SUM('RRP 2.3'!I11:I16)</f>
        <v>15.945861262597509</v>
      </c>
      <c r="I9" s="119">
        <f t="shared" si="0"/>
        <v>2.1706688897905817</v>
      </c>
      <c r="J9" s="112"/>
      <c r="K9" s="73"/>
      <c r="L9" s="119" t="s">
        <v>195</v>
      </c>
      <c r="M9" s="134">
        <f>IF(ISERROR(VLOOKUP($L9,'Calc-Drivers'!$B$17:$F$27,M$42,FALSE))," ",VLOOKUP($L9,'Calc-Drivers'!$B$17:$F$27,M$42,FALSE))</f>
        <v>0.3874734304826183</v>
      </c>
      <c r="N9" s="134">
        <f>IF(ISERROR(VLOOKUP($L9,'Calc-Drivers'!$B$17:$F$27,N$42,FALSE))," ",VLOOKUP($L9,'Calc-Drivers'!$B$17:$F$27,N$42,FALSE))</f>
        <v>0.11030677919037249</v>
      </c>
      <c r="O9" s="134">
        <f>IF(ISERROR(VLOOKUP($L9,'Calc-Drivers'!$B$17:$F$27,O$42,FALSE))," ",VLOOKUP($L9,'Calc-Drivers'!$B$17:$F$27,O$42,FALSE))</f>
        <v>0.03400429288224294</v>
      </c>
      <c r="P9" s="134">
        <f>IF(ISERROR(VLOOKUP($L9,'Calc-Drivers'!$B$17:$F$27,P$42,FALSE))," ",VLOOKUP($L9,'Calc-Drivers'!$B$17:$F$27,P$42,FALSE))</f>
        <v>0.4682154974447662</v>
      </c>
      <c r="Q9" s="148"/>
      <c r="R9" s="75"/>
      <c r="S9" s="76">
        <f t="shared" si="1"/>
        <v>0.8410765211690532</v>
      </c>
      <c r="T9" s="76">
        <f t="shared" si="1"/>
        <v>0.23943949392154068</v>
      </c>
      <c r="U9" s="76">
        <f t="shared" si="1"/>
        <v>0.07381206067881206</v>
      </c>
      <c r="V9" s="141">
        <f t="shared" si="1"/>
        <v>1.0163408140211756</v>
      </c>
      <c r="W9" s="77"/>
      <c r="X9" s="71"/>
      <c r="Y9" s="76">
        <f t="shared" si="2"/>
        <v>2.4226446884674067</v>
      </c>
      <c r="Z9" s="76">
        <f t="shared" si="2"/>
        <v>6.505264840024029</v>
      </c>
      <c r="AA9" s="76">
        <f t="shared" si="2"/>
        <v>0.6243126043265281</v>
      </c>
      <c r="AB9" s="141">
        <f t="shared" si="2"/>
        <v>16.962202076618684</v>
      </c>
      <c r="AC9" s="77"/>
      <c r="AD9" s="77"/>
      <c r="AE9" s="78">
        <f>IF(ISERROR(Y9*100000000/'Calc-Units'!$E$21)," ",Y9*100000000/'Calc-Units'!$E$21)</f>
        <v>0.008250131589461826</v>
      </c>
      <c r="AF9" s="78">
        <f>IF(ISERROR(Z9*100000000/'Calc-Units'!$D$21)," ",Z9*100000000/'Calc-Units'!$D$21)</f>
        <v>0.02267852208427721</v>
      </c>
      <c r="AG9" s="78">
        <f>IF(ISERROR(AA9*100000000/'Calc-Units'!$C$21)," ",AA9*100000000/'Calc-Units'!$C$21)</f>
        <v>0.0032371285094188952</v>
      </c>
      <c r="AH9" s="232">
        <f>IF(ISERROR(AB9*100000000/'Calc-Units'!$C$21)," ",AB9*100000000/'Calc-Units'!$C$21)</f>
        <v>0.08795085594015702</v>
      </c>
      <c r="AI9" s="79"/>
      <c r="AJ9" s="72">
        <v>0.235</v>
      </c>
      <c r="AK9" s="73">
        <f t="shared" si="3"/>
        <v>6.230889689217612</v>
      </c>
      <c r="AL9" s="74">
        <f t="shared" si="4"/>
        <v>20.283534520219035</v>
      </c>
      <c r="AM9" s="73"/>
      <c r="AN9" s="73"/>
      <c r="AO9" s="76">
        <f t="shared" si="5"/>
        <v>1.8533231866775661</v>
      </c>
      <c r="AP9" s="76">
        <f t="shared" si="5"/>
        <v>4.976527602618383</v>
      </c>
      <c r="AQ9" s="76">
        <f t="shared" si="5"/>
        <v>0.47759914230979406</v>
      </c>
      <c r="AR9" s="141">
        <f t="shared" si="5"/>
        <v>12.976084588613293</v>
      </c>
      <c r="AS9" s="77"/>
      <c r="AT9" s="79"/>
      <c r="AU9" s="78">
        <f>IF(ISERROR(AO9*100000000/'Calc-Units'!$E$21)," ",AO9*100000000/'Calc-Units'!$E$21)</f>
        <v>0.006311350665938297</v>
      </c>
      <c r="AV9" s="78">
        <f>IF(ISERROR(AP9*100000000/'Calc-Units'!$D$21)," ",AP9*100000000/'Calc-Units'!$D$21)</f>
        <v>0.017349069394472068</v>
      </c>
      <c r="AW9" s="78">
        <f>IF(ISERROR(AQ9*100000000/'Calc-Units'!$C$21)," ",AQ9*100000000/'Calc-Units'!$C$21)</f>
        <v>0.002476403309705455</v>
      </c>
      <c r="AX9" s="232">
        <f>IF(ISERROR(AR9*100000000/'Calc-Units'!$C$21)," ",AR9*100000000/'Calc-Units'!$C$21)</f>
        <v>0.06728240479422012</v>
      </c>
      <c r="AZ9" s="83"/>
      <c r="BA9" s="71"/>
    </row>
    <row r="10" spans="1:53" s="70" customFormat="1" ht="12.75">
      <c r="A10" s="88"/>
      <c r="B10" s="80"/>
      <c r="C10" s="107" t="s">
        <v>186</v>
      </c>
      <c r="D10" s="119">
        <f>'RRP 1.3'!H$12</f>
        <v>11.606716180984</v>
      </c>
      <c r="E10" s="119">
        <f>SUM('RRP 2.3'!G20:G27)</f>
        <v>4.302513777530571</v>
      </c>
      <c r="F10" s="119">
        <f>SUM('RRP 2.3'!G17:G18)</f>
        <v>0.5090896255445141</v>
      </c>
      <c r="G10" s="151">
        <f>SUM('RRP 2.3'!G19)</f>
        <v>4.276938824739383</v>
      </c>
      <c r="H10" s="119">
        <f>SUM('RRP 2.3'!G11:G16)</f>
        <v>1.219180953169533</v>
      </c>
      <c r="I10" s="119">
        <f t="shared" si="0"/>
        <v>1.2989929999999987</v>
      </c>
      <c r="J10" s="112"/>
      <c r="K10" s="73"/>
      <c r="L10" s="121" t="s">
        <v>195</v>
      </c>
      <c r="M10" s="134">
        <f>IF(ISERROR(VLOOKUP($L10,'Calc-Drivers'!$B$17:$F$27,M$42,FALSE))," ",VLOOKUP($L10,'Calc-Drivers'!$B$17:$F$27,M$42,FALSE))</f>
        <v>0.3874734304826183</v>
      </c>
      <c r="N10" s="134">
        <f>IF(ISERROR(VLOOKUP($L10,'Calc-Drivers'!$B$17:$F$27,N$42,FALSE))," ",VLOOKUP($L10,'Calc-Drivers'!$B$17:$F$27,N$42,FALSE))</f>
        <v>0.11030677919037249</v>
      </c>
      <c r="O10" s="134">
        <f>IF(ISERROR(VLOOKUP($L10,'Calc-Drivers'!$B$17:$F$27,O$42,FALSE))," ",VLOOKUP($L10,'Calc-Drivers'!$B$17:$F$27,O$42,FALSE))</f>
        <v>0.03400429288224294</v>
      </c>
      <c r="P10" s="134">
        <f>IF(ISERROR(VLOOKUP($L10,'Calc-Drivers'!$B$17:$F$27,P$42,FALSE))," ",VLOOKUP($L10,'Calc-Drivers'!$B$17:$F$27,P$42,FALSE))</f>
        <v>0.4682154974447662</v>
      </c>
      <c r="Q10" s="148"/>
      <c r="R10" s="75"/>
      <c r="S10" s="76">
        <f t="shared" si="1"/>
        <v>0.5033252738829073</v>
      </c>
      <c r="T10" s="76">
        <f t="shared" si="1"/>
        <v>0.14328773402083939</v>
      </c>
      <c r="U10" s="76">
        <f t="shared" si="1"/>
        <v>0.04417133842398335</v>
      </c>
      <c r="V10" s="141">
        <f t="shared" si="1"/>
        <v>0.6082086536722686</v>
      </c>
      <c r="W10" s="77"/>
      <c r="X10" s="71"/>
      <c r="Y10" s="76">
        <f t="shared" si="2"/>
        <v>4.805839051413479</v>
      </c>
      <c r="Z10" s="76">
        <f t="shared" si="2"/>
        <v>0.6523773595653535</v>
      </c>
      <c r="AA10" s="76">
        <f t="shared" si="2"/>
        <v>4.321110163163366</v>
      </c>
      <c r="AB10" s="141">
        <f t="shared" si="2"/>
        <v>1.8273896068418016</v>
      </c>
      <c r="AC10" s="77"/>
      <c r="AD10" s="77"/>
      <c r="AE10" s="78">
        <f>IF(ISERROR(Y10*100000000/'Calc-Units'!$E$21)," ",Y10*100000000/'Calc-Units'!$E$21)</f>
        <v>0.01636591810622378</v>
      </c>
      <c r="AF10" s="78">
        <f>IF(ISERROR(Z10*100000000/'Calc-Units'!$D$21)," ",Z10*100000000/'Calc-Units'!$D$21)</f>
        <v>0.0022743046932014953</v>
      </c>
      <c r="AG10" s="78">
        <f>IF(ISERROR(AA10*100000000/'Calc-Units'!$C$21)," ",AA10*100000000/'Calc-Units'!$C$21)</f>
        <v>0.022405424469373464</v>
      </c>
      <c r="AH10" s="232">
        <f>IF(ISERROR(AB10*100000000/'Calc-Units'!$C$21)," ",AB10*100000000/'Calc-Units'!$C$21)</f>
        <v>0.00947521314342944</v>
      </c>
      <c r="AI10" s="79"/>
      <c r="AJ10" s="72">
        <v>0.235</v>
      </c>
      <c r="AK10" s="73">
        <f t="shared" si="3"/>
        <v>2.72757830253124</v>
      </c>
      <c r="AL10" s="74">
        <f t="shared" si="4"/>
        <v>8.87913787845276</v>
      </c>
      <c r="AM10" s="73"/>
      <c r="AN10" s="73"/>
      <c r="AO10" s="145">
        <f t="shared" si="5"/>
        <v>3.6764668743313114</v>
      </c>
      <c r="AP10" s="145">
        <f t="shared" si="5"/>
        <v>0.49906868006749544</v>
      </c>
      <c r="AQ10" s="145">
        <f t="shared" si="5"/>
        <v>3.3056492748199755</v>
      </c>
      <c r="AR10" s="142">
        <f t="shared" si="5"/>
        <v>1.3979530492339782</v>
      </c>
      <c r="AS10" s="77"/>
      <c r="AT10" s="79"/>
      <c r="AU10" s="233">
        <f>IF(ISERROR(AO10*100000000/'Calc-Units'!$E$21)," ",AO10*100000000/'Calc-Units'!$E$21)</f>
        <v>0.012519927351261192</v>
      </c>
      <c r="AV10" s="233">
        <f>IF(ISERROR(AP10*100000000/'Calc-Units'!$D$21)," ",AP10*100000000/'Calc-Units'!$D$21)</f>
        <v>0.0017398430902991438</v>
      </c>
      <c r="AW10" s="233">
        <f>IF(ISERROR(AQ10*100000000/'Calc-Units'!$C$21)," ",AQ10*100000000/'Calc-Units'!$C$21)</f>
        <v>0.017140149719070703</v>
      </c>
      <c r="AX10" s="234">
        <f>IF(ISERROR(AR10*100000000/'Calc-Units'!$C$21)," ",AR10*100000000/'Calc-Units'!$C$21)</f>
        <v>0.0072485380547235205</v>
      </c>
      <c r="AZ10" s="83"/>
      <c r="BA10" s="71"/>
    </row>
    <row r="11" spans="1:53" s="70" customFormat="1" ht="12.75">
      <c r="A11" s="91"/>
      <c r="B11" s="80"/>
      <c r="C11" s="226" t="s">
        <v>616</v>
      </c>
      <c r="D11" s="131">
        <f>'RRP 1.3'!I$12</f>
        <v>3.1208690599999995</v>
      </c>
      <c r="E11" s="131">
        <f>'RRP 2.3'!G46+'RRP 2.3'!G47</f>
        <v>0.8110530564146345</v>
      </c>
      <c r="F11" s="131">
        <f>'RRP 2.3'!G45</f>
        <v>3.83999569614136</v>
      </c>
      <c r="G11" s="132">
        <v>0</v>
      </c>
      <c r="H11" s="131">
        <f>'RRP 2.3'!G44</f>
        <v>2.669820307444006</v>
      </c>
      <c r="I11" s="131">
        <f t="shared" si="0"/>
        <v>-4.200000000000001</v>
      </c>
      <c r="J11" s="112"/>
      <c r="K11" s="73"/>
      <c r="L11" s="143" t="s">
        <v>195</v>
      </c>
      <c r="M11" s="228">
        <f>IF(ISERROR(VLOOKUP($L11,'Calc-Drivers'!$B$17:$F$27,M$42,FALSE))," ",VLOOKUP($L11,'Calc-Drivers'!$B$17:$F$27,M$42,FALSE))</f>
        <v>0.3874734304826183</v>
      </c>
      <c r="N11" s="228">
        <f>IF(ISERROR(VLOOKUP($L11,'Calc-Drivers'!$B$17:$F$27,N$42,FALSE))," ",VLOOKUP($L11,'Calc-Drivers'!$B$17:$F$27,N$42,FALSE))</f>
        <v>0.11030677919037249</v>
      </c>
      <c r="O11" s="228">
        <f>IF(ISERROR(VLOOKUP($L11,'Calc-Drivers'!$B$17:$F$27,O$42,FALSE))," ",VLOOKUP($L11,'Calc-Drivers'!$B$17:$F$27,O$42,FALSE))</f>
        <v>0.03400429288224294</v>
      </c>
      <c r="P11" s="228">
        <f>IF(ISERROR(VLOOKUP($L11,'Calc-Drivers'!$B$17:$F$27,P$42,FALSE))," ",VLOOKUP($L11,'Calc-Drivers'!$B$17:$F$27,P$42,FALSE))</f>
        <v>0.4682154974447662</v>
      </c>
      <c r="Q11" s="148"/>
      <c r="R11" s="75"/>
      <c r="S11" s="145">
        <f t="shared" si="1"/>
        <v>-1.6273884080269971</v>
      </c>
      <c r="T11" s="145">
        <f t="shared" si="1"/>
        <v>-0.46328847259956457</v>
      </c>
      <c r="U11" s="145">
        <f t="shared" si="1"/>
        <v>-0.14281803010542038</v>
      </c>
      <c r="V11" s="142">
        <f t="shared" si="1"/>
        <v>-1.9665050892680185</v>
      </c>
      <c r="W11" s="77"/>
      <c r="X11" s="71"/>
      <c r="Y11" s="145">
        <f t="shared" si="2"/>
        <v>-0.8163353516123626</v>
      </c>
      <c r="Z11" s="145">
        <f t="shared" si="2"/>
        <v>3.3767072235417954</v>
      </c>
      <c r="AA11" s="145">
        <f t="shared" si="2"/>
        <v>-0.14281803010542038</v>
      </c>
      <c r="AB11" s="142">
        <f t="shared" si="2"/>
        <v>0.7033152181759874</v>
      </c>
      <c r="AC11" s="77"/>
      <c r="AD11" s="77"/>
      <c r="AE11" s="233">
        <f>IF(ISERROR(Y11*100000000/'Calc-Units'!$E$21)," ",Y11*100000000/'Calc-Units'!$E$21)</f>
        <v>-0.002779967736908271</v>
      </c>
      <c r="AF11" s="233">
        <f>IF(ISERROR(Z11*100000000/'Calc-Units'!$D$21)," ",Z11*100000000/'Calc-Units'!$D$21)</f>
        <v>0.01177180810073647</v>
      </c>
      <c r="AG11" s="233">
        <f>IF(ISERROR(AA11*100000000/'Calc-Units'!$C$21)," ",AA11*100000000/'Calc-Units'!$C$21)</f>
        <v>-0.0007405269631101337</v>
      </c>
      <c r="AH11" s="234">
        <f>IF(ISERROR(AB11*100000000/'Calc-Units'!$C$21)," ",AB11*100000000/'Calc-Units'!$C$21)</f>
        <v>0.003646765623644029</v>
      </c>
      <c r="AI11" s="79"/>
      <c r="AJ11" s="236">
        <v>0.235</v>
      </c>
      <c r="AK11" s="237">
        <f t="shared" si="3"/>
        <v>0.7334042290999998</v>
      </c>
      <c r="AL11" s="238">
        <f t="shared" si="4"/>
        <v>2.3874648308999995</v>
      </c>
      <c r="AM11" s="73"/>
      <c r="AN11" s="73"/>
      <c r="AO11" s="144">
        <f t="shared" si="5"/>
        <v>-0.6244965439834574</v>
      </c>
      <c r="AP11" s="144">
        <f t="shared" si="5"/>
        <v>2.5831810260094734</v>
      </c>
      <c r="AQ11" s="144">
        <f t="shared" si="5"/>
        <v>-0.10925579303064659</v>
      </c>
      <c r="AR11" s="140">
        <f t="shared" si="5"/>
        <v>0.5380361419046303</v>
      </c>
      <c r="AS11" s="77"/>
      <c r="AT11" s="79"/>
      <c r="AU11" s="256">
        <f>IF(ISERROR(AO11*100000000/'Calc-Units'!$E$21)," ",AO11*100000000/'Calc-Units'!$E$21)</f>
        <v>-0.0021266753187348278</v>
      </c>
      <c r="AV11" s="256">
        <f>IF(ISERROR(AP11*100000000/'Calc-Units'!$D$21)," ",AP11*100000000/'Calc-Units'!$D$21)</f>
        <v>0.009005433197063399</v>
      </c>
      <c r="AW11" s="256">
        <f>IF(ISERROR(AQ11*100000000/'Calc-Units'!$C$21)," ",AQ11*100000000/'Calc-Units'!$C$21)</f>
        <v>-0.0005665031267792522</v>
      </c>
      <c r="AX11" s="257">
        <f>IF(ISERROR(AR11*100000000/'Calc-Units'!$C$21)," ",AR11*100000000/'Calc-Units'!$C$21)</f>
        <v>0.0027897757020876822</v>
      </c>
      <c r="AZ11" s="83"/>
      <c r="BA11" s="71"/>
    </row>
    <row r="12" spans="1:53" s="86" customFormat="1" ht="12.75" customHeight="1">
      <c r="A12" s="88"/>
      <c r="B12" s="225" t="s">
        <v>685</v>
      </c>
      <c r="C12" s="108" t="s">
        <v>674</v>
      </c>
      <c r="D12" s="121">
        <f>'RRP 1.3'!J$12</f>
        <v>0.6388920716279997</v>
      </c>
      <c r="E12" s="121">
        <v>0</v>
      </c>
      <c r="F12" s="121">
        <v>0</v>
      </c>
      <c r="G12" s="121">
        <v>0</v>
      </c>
      <c r="H12" s="121">
        <v>0</v>
      </c>
      <c r="I12" s="121">
        <f t="shared" si="0"/>
        <v>0.6388920716279997</v>
      </c>
      <c r="J12" s="113"/>
      <c r="K12" s="82"/>
      <c r="L12" s="121" t="s">
        <v>195</v>
      </c>
      <c r="M12" s="134">
        <f>IF(ISERROR(VLOOKUP($L12,'Calc-Drivers'!$B$17:$F$27,M$42,FALSE))," ",VLOOKUP($L12,'Calc-Drivers'!$B$17:$F$27,M$42,FALSE))</f>
        <v>0.3874734304826183</v>
      </c>
      <c r="N12" s="134">
        <f>IF(ISERROR(VLOOKUP($L12,'Calc-Drivers'!$B$17:$F$27,N$42,FALSE))," ",VLOOKUP($L12,'Calc-Drivers'!$B$17:$F$27,N$42,FALSE))</f>
        <v>0.11030677919037249</v>
      </c>
      <c r="O12" s="134">
        <f>IF(ISERROR(VLOOKUP($L12,'Calc-Drivers'!$B$17:$F$27,O$42,FALSE))," ",VLOOKUP($L12,'Calc-Drivers'!$B$17:$F$27,O$42,FALSE))</f>
        <v>0.03400429288224294</v>
      </c>
      <c r="P12" s="134">
        <f>IF(ISERROR(VLOOKUP($L12,'Calc-Drivers'!$B$17:$F$27,P$42,FALSE))," ",VLOOKUP($L12,'Calc-Drivers'!$B$17:$F$27,P$42,FALSE))</f>
        <v>0.4682154974447662</v>
      </c>
      <c r="Q12" s="148"/>
      <c r="R12" s="75"/>
      <c r="S12" s="76">
        <f t="shared" si="1"/>
        <v>0.2475537027018477</v>
      </c>
      <c r="T12" s="76">
        <f t="shared" si="1"/>
        <v>0.0704741266715494</v>
      </c>
      <c r="U12" s="76">
        <f t="shared" si="1"/>
        <v>0.021725073123781434</v>
      </c>
      <c r="V12" s="141">
        <f t="shared" si="1"/>
        <v>0.29913916913082106</v>
      </c>
      <c r="W12" s="77"/>
      <c r="X12" s="83"/>
      <c r="Y12" s="144">
        <f t="shared" si="2"/>
        <v>0.2475537027018477</v>
      </c>
      <c r="Z12" s="144">
        <f t="shared" si="2"/>
        <v>0.0704741266715494</v>
      </c>
      <c r="AA12" s="144">
        <f t="shared" si="2"/>
        <v>0.021725073123781434</v>
      </c>
      <c r="AB12" s="140">
        <f t="shared" si="2"/>
        <v>0.29913916913082106</v>
      </c>
      <c r="AC12" s="84"/>
      <c r="AD12" s="84"/>
      <c r="AE12" s="256">
        <f>IF(ISERROR(Y12*100000000/'Calc-Units'!$E$21)," ",Y12*100000000/'Calc-Units'!$E$21)</f>
        <v>0.0008430252411635196</v>
      </c>
      <c r="AF12" s="256">
        <f>IF(ISERROR(Z12*100000000/'Calc-Units'!$D$21)," ",Z12*100000000/'Calc-Units'!$D$21)</f>
        <v>0.00024568546821607636</v>
      </c>
      <c r="AG12" s="256">
        <f>IF(ISERROR(AA12*100000000/'Calc-Units'!$C$21)," ",AA12*100000000/'Calc-Units'!$C$21)</f>
        <v>0.00011264685846614868</v>
      </c>
      <c r="AH12" s="257">
        <f>IF(ISERROR(AB12*100000000/'Calc-Units'!$C$21)," ",AB12*100000000/'Calc-Units'!$C$21)</f>
        <v>0.0015510690092856011</v>
      </c>
      <c r="AI12" s="85"/>
      <c r="AJ12" s="260">
        <v>0.5257</v>
      </c>
      <c r="AK12" s="251">
        <f t="shared" si="3"/>
        <v>0.33586556205483936</v>
      </c>
      <c r="AL12" s="252">
        <f t="shared" si="4"/>
        <v>0.3030265095731603</v>
      </c>
      <c r="AM12" s="73"/>
      <c r="AN12" s="73"/>
      <c r="AO12" s="76">
        <f t="shared" si="5"/>
        <v>0.11741472119148638</v>
      </c>
      <c r="AP12" s="76">
        <f t="shared" si="5"/>
        <v>0.03342587828031588</v>
      </c>
      <c r="AQ12" s="76">
        <f t="shared" si="5"/>
        <v>0.010304202182609535</v>
      </c>
      <c r="AR12" s="141">
        <f t="shared" si="5"/>
        <v>0.14188170791874843</v>
      </c>
      <c r="AS12" s="77"/>
      <c r="AT12" s="85"/>
      <c r="AU12" s="78">
        <f>IF(ISERROR(AO12*100000000/'Calc-Units'!$E$21)," ",AO12*100000000/'Calc-Units'!$E$21)</f>
        <v>0.00039984687188385735</v>
      </c>
      <c r="AV12" s="78">
        <f>IF(ISERROR(AP12*100000000/'Calc-Units'!$D$21)," ",AP12*100000000/'Calc-Units'!$D$21)</f>
        <v>0.00011652861757488501</v>
      </c>
      <c r="AW12" s="78">
        <f>IF(ISERROR(AQ12*100000000/'Calc-Units'!$C$21)," ",AQ12*100000000/'Calc-Units'!$C$21)</f>
        <v>5.3428404970494324E-05</v>
      </c>
      <c r="AX12" s="232">
        <f>IF(ISERROR(AR12*100000000/'Calc-Units'!$C$21)," ",AR12*100000000/'Calc-Units'!$C$21)</f>
        <v>0.0007356720311041606</v>
      </c>
      <c r="AZ12" s="83"/>
      <c r="BA12" s="83"/>
    </row>
    <row r="13" spans="1:53" s="86" customFormat="1" ht="12.75">
      <c r="A13" s="88"/>
      <c r="B13" s="87"/>
      <c r="C13" s="108" t="s">
        <v>675</v>
      </c>
      <c r="D13" s="121">
        <f>'RRP 1.3'!K$12</f>
        <v>5.1305774955097965</v>
      </c>
      <c r="E13" s="121">
        <v>0</v>
      </c>
      <c r="F13" s="121">
        <v>0</v>
      </c>
      <c r="G13" s="121">
        <v>0</v>
      </c>
      <c r="H13" s="121">
        <v>0</v>
      </c>
      <c r="I13" s="121">
        <f t="shared" si="0"/>
        <v>5.1305774955097965</v>
      </c>
      <c r="J13" s="113"/>
      <c r="K13" s="82"/>
      <c r="L13" s="121" t="s">
        <v>195</v>
      </c>
      <c r="M13" s="134">
        <f>IF(ISERROR(VLOOKUP($L13,'Calc-Drivers'!$B$17:$F$27,M$42,FALSE))," ",VLOOKUP($L13,'Calc-Drivers'!$B$17:$F$27,M$42,FALSE))</f>
        <v>0.3874734304826183</v>
      </c>
      <c r="N13" s="134">
        <f>IF(ISERROR(VLOOKUP($L13,'Calc-Drivers'!$B$17:$F$27,N$42,FALSE))," ",VLOOKUP($L13,'Calc-Drivers'!$B$17:$F$27,N$42,FALSE))</f>
        <v>0.11030677919037249</v>
      </c>
      <c r="O13" s="134">
        <f>IF(ISERROR(VLOOKUP($L13,'Calc-Drivers'!$B$17:$F$27,O$42,FALSE))," ",VLOOKUP($L13,'Calc-Drivers'!$B$17:$F$27,O$42,FALSE))</f>
        <v>0.03400429288224294</v>
      </c>
      <c r="P13" s="134">
        <f>IF(ISERROR(VLOOKUP($L13,'Calc-Drivers'!$B$17:$F$27,P$42,FALSE))," ",VLOOKUP($L13,'Calc-Drivers'!$B$17:$F$27,P$42,FALSE))</f>
        <v>0.4682154974447662</v>
      </c>
      <c r="Q13" s="148"/>
      <c r="R13" s="75"/>
      <c r="S13" s="76">
        <f t="shared" si="1"/>
        <v>1.9879624625421008</v>
      </c>
      <c r="T13" s="76">
        <f t="shared" si="1"/>
        <v>0.5659374789162934</v>
      </c>
      <c r="U13" s="76">
        <f t="shared" si="1"/>
        <v>0.17446165981235956</v>
      </c>
      <c r="V13" s="141">
        <f t="shared" si="1"/>
        <v>2.402215894239042</v>
      </c>
      <c r="W13" s="77"/>
      <c r="X13" s="83"/>
      <c r="Y13" s="76">
        <f t="shared" si="2"/>
        <v>1.9879624625421008</v>
      </c>
      <c r="Z13" s="76">
        <f t="shared" si="2"/>
        <v>0.5659374789162934</v>
      </c>
      <c r="AA13" s="76">
        <f t="shared" si="2"/>
        <v>0.17446165981235956</v>
      </c>
      <c r="AB13" s="141">
        <f t="shared" si="2"/>
        <v>2.402215894239042</v>
      </c>
      <c r="AC13" s="84"/>
      <c r="AD13" s="84"/>
      <c r="AE13" s="78">
        <f>IF(ISERROR(Y13*100000000/'Calc-Units'!$E$21)," ",Y13*100000000/'Calc-Units'!$E$21)</f>
        <v>0.006769854444177013</v>
      </c>
      <c r="AF13" s="78">
        <f>IF(ISERROR(Z13*100000000/'Calc-Units'!$D$21)," ",Z13*100000000/'Calc-Units'!$D$21)</f>
        <v>0.001972959737927583</v>
      </c>
      <c r="AG13" s="78">
        <f>IF(ISERROR(AA13*100000000/'Calc-Units'!$C$21)," ",AA13*100000000/'Calc-Units'!$C$21)</f>
        <v>0.0009046026123216818</v>
      </c>
      <c r="AH13" s="232">
        <f>IF(ISERROR(AB13*100000000/'Calc-Units'!$C$21)," ",AB13*100000000/'Calc-Units'!$C$21)</f>
        <v>0.012455749736798931</v>
      </c>
      <c r="AI13" s="85"/>
      <c r="AJ13" s="81">
        <v>0.5257</v>
      </c>
      <c r="AK13" s="73">
        <f t="shared" si="3"/>
        <v>2.6971445893894996</v>
      </c>
      <c r="AL13" s="74">
        <f t="shared" si="4"/>
        <v>2.433432906120297</v>
      </c>
      <c r="AM13" s="73"/>
      <c r="AN13" s="73"/>
      <c r="AO13" s="76">
        <f t="shared" si="5"/>
        <v>0.9428905959837185</v>
      </c>
      <c r="AP13" s="76">
        <f t="shared" si="5"/>
        <v>0.268424146249998</v>
      </c>
      <c r="AQ13" s="76">
        <f t="shared" si="5"/>
        <v>0.08274716524900215</v>
      </c>
      <c r="AR13" s="141">
        <f t="shared" si="5"/>
        <v>1.1393709986375777</v>
      </c>
      <c r="AS13" s="77"/>
      <c r="AT13" s="85"/>
      <c r="AU13" s="78">
        <f>IF(ISERROR(AO13*100000000/'Calc-Units'!$E$21)," ",AO13*100000000/'Calc-Units'!$E$21)</f>
        <v>0.0032109419628731577</v>
      </c>
      <c r="AV13" s="78">
        <f>IF(ISERROR(AP13*100000000/'Calc-Units'!$D$21)," ",AP13*100000000/'Calc-Units'!$D$21)</f>
        <v>0.0009357748036990527</v>
      </c>
      <c r="AW13" s="78">
        <f>IF(ISERROR(AQ13*100000000/'Calc-Units'!$C$21)," ",AQ13*100000000/'Calc-Units'!$C$21)</f>
        <v>0.0004290530190241737</v>
      </c>
      <c r="AX13" s="232">
        <f>IF(ISERROR(AR13*100000000/'Calc-Units'!$C$21)," ",AR13*100000000/'Calc-Units'!$C$21)</f>
        <v>0.005907762100163734</v>
      </c>
      <c r="AZ13" s="83"/>
      <c r="BA13" s="83"/>
    </row>
    <row r="14" spans="1:53" s="86" customFormat="1" ht="12.75">
      <c r="A14" s="88"/>
      <c r="B14" s="87"/>
      <c r="C14" s="108" t="s">
        <v>676</v>
      </c>
      <c r="D14" s="121">
        <f>'RRP 1.3'!L$12</f>
        <v>2.2167176620892537</v>
      </c>
      <c r="E14" s="121">
        <v>0</v>
      </c>
      <c r="F14" s="121">
        <v>0</v>
      </c>
      <c r="G14" s="121">
        <v>0</v>
      </c>
      <c r="H14" s="121">
        <v>0</v>
      </c>
      <c r="I14" s="121">
        <f t="shared" si="0"/>
        <v>2.2167176620892537</v>
      </c>
      <c r="J14" s="113"/>
      <c r="K14" s="82"/>
      <c r="L14" s="121" t="s">
        <v>195</v>
      </c>
      <c r="M14" s="134">
        <f>IF(ISERROR(VLOOKUP($L14,'Calc-Drivers'!$B$17:$F$27,M$42,FALSE))," ",VLOOKUP($L14,'Calc-Drivers'!$B$17:$F$27,M$42,FALSE))</f>
        <v>0.3874734304826183</v>
      </c>
      <c r="N14" s="134">
        <f>IF(ISERROR(VLOOKUP($L14,'Calc-Drivers'!$B$17:$F$27,N$42,FALSE))," ",VLOOKUP($L14,'Calc-Drivers'!$B$17:$F$27,N$42,FALSE))</f>
        <v>0.11030677919037249</v>
      </c>
      <c r="O14" s="134">
        <f>IF(ISERROR(VLOOKUP($L14,'Calc-Drivers'!$B$17:$F$27,O$42,FALSE))," ",VLOOKUP($L14,'Calc-Drivers'!$B$17:$F$27,O$42,FALSE))</f>
        <v>0.03400429288224294</v>
      </c>
      <c r="P14" s="134">
        <f>IF(ISERROR(VLOOKUP($L14,'Calc-Drivers'!$B$17:$F$27,P$42,FALSE))," ",VLOOKUP($L14,'Calc-Drivers'!$B$17:$F$27,P$42,FALSE))</f>
        <v>0.4682154974447662</v>
      </c>
      <c r="Q14" s="148"/>
      <c r="R14" s="75"/>
      <c r="S14" s="76">
        <f t="shared" si="1"/>
        <v>0.8589191969411326</v>
      </c>
      <c r="T14" s="76">
        <f t="shared" si="1"/>
        <v>0.24451898567947805</v>
      </c>
      <c r="U14" s="76">
        <f t="shared" si="1"/>
        <v>0.07537791661892382</v>
      </c>
      <c r="V14" s="141">
        <f t="shared" si="1"/>
        <v>1.037901562849719</v>
      </c>
      <c r="W14" s="77"/>
      <c r="X14" s="83"/>
      <c r="Y14" s="76">
        <f t="shared" si="2"/>
        <v>0.8589191969411326</v>
      </c>
      <c r="Z14" s="76">
        <f t="shared" si="2"/>
        <v>0.24451898567947805</v>
      </c>
      <c r="AA14" s="76">
        <f t="shared" si="2"/>
        <v>0.07537791661892382</v>
      </c>
      <c r="AB14" s="141">
        <f t="shared" si="2"/>
        <v>1.037901562849719</v>
      </c>
      <c r="AC14" s="84"/>
      <c r="AD14" s="84"/>
      <c r="AE14" s="78">
        <f>IF(ISERROR(Y14*100000000/'Calc-Units'!$E$21)," ",Y14*100000000/'Calc-Units'!$E$21)</f>
        <v>0.0029249837721610065</v>
      </c>
      <c r="AF14" s="78">
        <f>IF(ISERROR(Z14*100000000/'Calc-Units'!$D$21)," ",Z14*100000000/'Calc-Units'!$D$21)</f>
        <v>0.0008524371187225365</v>
      </c>
      <c r="AG14" s="78">
        <f>IF(ISERROR(AA14*100000000/'Calc-Units'!$C$21)," ",AA14*100000000/'Calc-Units'!$C$21)</f>
        <v>0.00039084266628084524</v>
      </c>
      <c r="AH14" s="232">
        <f>IF(ISERROR(AB14*100000000/'Calc-Units'!$C$21)," ",AB14*100000000/'Calc-Units'!$C$21)</f>
        <v>0.005381632079486254</v>
      </c>
      <c r="AI14" s="85"/>
      <c r="AJ14" s="81">
        <v>0.5257</v>
      </c>
      <c r="AK14" s="73">
        <f t="shared" si="3"/>
        <v>1.1653284749603205</v>
      </c>
      <c r="AL14" s="74">
        <f t="shared" si="4"/>
        <v>1.0513891871289331</v>
      </c>
      <c r="AM14" s="73"/>
      <c r="AN14" s="73"/>
      <c r="AO14" s="76">
        <f t="shared" si="5"/>
        <v>0.40738537510917927</v>
      </c>
      <c r="AP14" s="76">
        <f t="shared" si="5"/>
        <v>0.11597535490777645</v>
      </c>
      <c r="AQ14" s="76">
        <f t="shared" si="5"/>
        <v>0.03575174585235557</v>
      </c>
      <c r="AR14" s="141">
        <f t="shared" si="5"/>
        <v>0.4922767112596218</v>
      </c>
      <c r="AS14" s="77"/>
      <c r="AT14" s="85"/>
      <c r="AU14" s="78">
        <f>IF(ISERROR(AO14*100000000/'Calc-Units'!$E$21)," ",AO14*100000000/'Calc-Units'!$E$21)</f>
        <v>0.0013873198031359656</v>
      </c>
      <c r="AV14" s="78">
        <f>IF(ISERROR(AP14*100000000/'Calc-Units'!$D$21)," ",AP14*100000000/'Calc-Units'!$D$21)</f>
        <v>0.00040431092541009915</v>
      </c>
      <c r="AW14" s="78">
        <f>IF(ISERROR(AQ14*100000000/'Calc-Units'!$C$21)," ",AQ14*100000000/'Calc-Units'!$C$21)</f>
        <v>0.00018537667661700492</v>
      </c>
      <c r="AX14" s="232">
        <f>IF(ISERROR(AR14*100000000/'Calc-Units'!$C$21)," ",AR14*100000000/'Calc-Units'!$C$21)</f>
        <v>0.0025525080953003308</v>
      </c>
      <c r="AZ14" s="83"/>
      <c r="BA14" s="83"/>
    </row>
    <row r="15" spans="1:53" s="86" customFormat="1" ht="12.75">
      <c r="A15" s="88"/>
      <c r="B15" s="87"/>
      <c r="C15" s="108" t="s">
        <v>677</v>
      </c>
      <c r="D15" s="121">
        <f>'RRP 1.3'!M$12</f>
        <v>16.939612814221448</v>
      </c>
      <c r="E15" s="121">
        <v>0</v>
      </c>
      <c r="F15" s="121">
        <v>0</v>
      </c>
      <c r="G15" s="121">
        <v>0</v>
      </c>
      <c r="H15" s="121">
        <v>0</v>
      </c>
      <c r="I15" s="121">
        <f t="shared" si="0"/>
        <v>16.939612814221448</v>
      </c>
      <c r="J15" s="113"/>
      <c r="K15" s="82"/>
      <c r="L15" s="121" t="s">
        <v>195</v>
      </c>
      <c r="M15" s="134">
        <f>IF(ISERROR(VLOOKUP($L15,'Calc-Drivers'!$B$17:$F$27,M$42,FALSE))," ",VLOOKUP($L15,'Calc-Drivers'!$B$17:$F$27,M$42,FALSE))</f>
        <v>0.3874734304826183</v>
      </c>
      <c r="N15" s="134">
        <f>IF(ISERROR(VLOOKUP($L15,'Calc-Drivers'!$B$17:$F$27,N$42,FALSE))," ",VLOOKUP($L15,'Calc-Drivers'!$B$17:$F$27,N$42,FALSE))</f>
        <v>0.11030677919037249</v>
      </c>
      <c r="O15" s="134">
        <f>IF(ISERROR(VLOOKUP($L15,'Calc-Drivers'!$B$17:$F$27,O$42,FALSE))," ",VLOOKUP($L15,'Calc-Drivers'!$B$17:$F$27,O$42,FALSE))</f>
        <v>0.03400429288224294</v>
      </c>
      <c r="P15" s="134">
        <f>IF(ISERROR(VLOOKUP($L15,'Calc-Drivers'!$B$17:$F$27,P$42,FALSE))," ",VLOOKUP($L15,'Calc-Drivers'!$B$17:$F$27,P$42,FALSE))</f>
        <v>0.4682154974447662</v>
      </c>
      <c r="Q15" s="148"/>
      <c r="R15" s="75"/>
      <c r="S15" s="76">
        <f t="shared" si="1"/>
        <v>6.563649888173704</v>
      </c>
      <c r="T15" s="76">
        <f t="shared" si="1"/>
        <v>1.8685541302687296</v>
      </c>
      <c r="U15" s="76">
        <f t="shared" si="1"/>
        <v>0.5760195554465817</v>
      </c>
      <c r="V15" s="141">
        <f t="shared" si="1"/>
        <v>7.9313892403324315</v>
      </c>
      <c r="W15" s="77"/>
      <c r="X15" s="83"/>
      <c r="Y15" s="76">
        <f t="shared" si="2"/>
        <v>6.563649888173704</v>
      </c>
      <c r="Z15" s="76">
        <f t="shared" si="2"/>
        <v>1.8685541302687296</v>
      </c>
      <c r="AA15" s="76">
        <f t="shared" si="2"/>
        <v>0.5760195554465817</v>
      </c>
      <c r="AB15" s="141">
        <f t="shared" si="2"/>
        <v>7.9313892403324315</v>
      </c>
      <c r="AC15" s="84"/>
      <c r="AD15" s="84"/>
      <c r="AE15" s="78">
        <f>IF(ISERROR(Y15*100000000/'Calc-Units'!$E$21)," ",Y15*100000000/'Calc-Units'!$E$21)</f>
        <v>0.02235200875405547</v>
      </c>
      <c r="AF15" s="78">
        <f>IF(ISERROR(Z15*100000000/'Calc-Units'!$D$21)," ",Z15*100000000/'Calc-Units'!$D$21)</f>
        <v>0.006514115435892116</v>
      </c>
      <c r="AG15" s="78">
        <f>IF(ISERROR(AA15*100000000/'Calc-Units'!$C$21)," ",AA15*100000000/'Calc-Units'!$C$21)</f>
        <v>0.0029867238175183123</v>
      </c>
      <c r="AH15" s="232">
        <f>IF(ISERROR(AB15*100000000/'Calc-Units'!$C$21)," ",AB15*100000000/'Calc-Units'!$C$21)</f>
        <v>0.04112511272597963</v>
      </c>
      <c r="AI15" s="85"/>
      <c r="AJ15" s="81">
        <v>0.5257</v>
      </c>
      <c r="AK15" s="73">
        <f t="shared" si="3"/>
        <v>8.905154456436215</v>
      </c>
      <c r="AL15" s="74">
        <f t="shared" si="4"/>
        <v>8.034458357785233</v>
      </c>
      <c r="AM15" s="73"/>
      <c r="AN15" s="73"/>
      <c r="AO15" s="76">
        <f t="shared" si="5"/>
        <v>3.1131391419607883</v>
      </c>
      <c r="AP15" s="76">
        <f t="shared" si="5"/>
        <v>0.8862552239864586</v>
      </c>
      <c r="AQ15" s="76">
        <f t="shared" si="5"/>
        <v>0.27320607514831374</v>
      </c>
      <c r="AR15" s="141">
        <f t="shared" si="5"/>
        <v>3.7618579166896726</v>
      </c>
      <c r="AS15" s="77"/>
      <c r="AT15" s="85"/>
      <c r="AU15" s="78">
        <f>IF(ISERROR(AO15*100000000/'Calc-Units'!$E$21)," ",AO15*100000000/'Calc-Units'!$E$21)</f>
        <v>0.010601557752048511</v>
      </c>
      <c r="AV15" s="78">
        <f>IF(ISERROR(AP15*100000000/'Calc-Units'!$D$21)," ",AP15*100000000/'Calc-Units'!$D$21)</f>
        <v>0.003089644951243631</v>
      </c>
      <c r="AW15" s="78">
        <f>IF(ISERROR(AQ15*100000000/'Calc-Units'!$C$21)," ",AQ15*100000000/'Calc-Units'!$C$21)</f>
        <v>0.0014166031066489358</v>
      </c>
      <c r="AX15" s="232">
        <f>IF(ISERROR(AR15*100000000/'Calc-Units'!$C$21)," ",AR15*100000000/'Calc-Units'!$C$21)</f>
        <v>0.01950564096593214</v>
      </c>
      <c r="AZ15" s="83"/>
      <c r="BA15" s="83"/>
    </row>
    <row r="16" spans="1:53" s="86" customFormat="1" ht="12.75">
      <c r="A16" s="88"/>
      <c r="B16" s="87"/>
      <c r="C16" s="108" t="s">
        <v>548</v>
      </c>
      <c r="D16" s="121">
        <f>'RRP 1.3'!N$12</f>
        <v>4.430016241559651</v>
      </c>
      <c r="E16" s="121">
        <v>0</v>
      </c>
      <c r="F16" s="121">
        <v>0</v>
      </c>
      <c r="G16" s="121">
        <v>0</v>
      </c>
      <c r="H16" s="121">
        <v>0</v>
      </c>
      <c r="I16" s="121">
        <f t="shared" si="0"/>
        <v>4.430016241559651</v>
      </c>
      <c r="J16" s="113"/>
      <c r="K16" s="82"/>
      <c r="L16" s="121" t="s">
        <v>195</v>
      </c>
      <c r="M16" s="134">
        <f>IF(ISERROR(VLOOKUP($L16,'Calc-Drivers'!$B$17:$F$27,M$42,FALSE))," ",VLOOKUP($L16,'Calc-Drivers'!$B$17:$F$27,M$42,FALSE))</f>
        <v>0.3874734304826183</v>
      </c>
      <c r="N16" s="134">
        <f>IF(ISERROR(VLOOKUP($L16,'Calc-Drivers'!$B$17:$F$27,N$42,FALSE))," ",VLOOKUP($L16,'Calc-Drivers'!$B$17:$F$27,N$42,FALSE))</f>
        <v>0.11030677919037249</v>
      </c>
      <c r="O16" s="134">
        <f>IF(ISERROR(VLOOKUP($L16,'Calc-Drivers'!$B$17:$F$27,O$42,FALSE))," ",VLOOKUP($L16,'Calc-Drivers'!$B$17:$F$27,O$42,FALSE))</f>
        <v>0.03400429288224294</v>
      </c>
      <c r="P16" s="134">
        <f>IF(ISERROR(VLOOKUP($L16,'Calc-Drivers'!$B$17:$F$27,P$42,FALSE))," ",VLOOKUP($L16,'Calc-Drivers'!$B$17:$F$27,P$42,FALSE))</f>
        <v>0.4682154974447662</v>
      </c>
      <c r="Q16" s="148"/>
      <c r="R16" s="75"/>
      <c r="S16" s="76">
        <f t="shared" si="1"/>
        <v>1.7165135902108333</v>
      </c>
      <c r="T16" s="76">
        <f t="shared" si="1"/>
        <v>0.48866082336748423</v>
      </c>
      <c r="U16" s="76">
        <f t="shared" si="1"/>
        <v>0.15063956975108744</v>
      </c>
      <c r="V16" s="141">
        <f t="shared" si="1"/>
        <v>2.0742022582302453</v>
      </c>
      <c r="W16" s="77"/>
      <c r="X16" s="83"/>
      <c r="Y16" s="76">
        <f t="shared" si="2"/>
        <v>1.7165135902108333</v>
      </c>
      <c r="Z16" s="76">
        <f t="shared" si="2"/>
        <v>0.48866082336748423</v>
      </c>
      <c r="AA16" s="76">
        <f t="shared" si="2"/>
        <v>0.15063956975108744</v>
      </c>
      <c r="AB16" s="141">
        <f t="shared" si="2"/>
        <v>2.0742022582302453</v>
      </c>
      <c r="AC16" s="84"/>
      <c r="AD16" s="84"/>
      <c r="AE16" s="78">
        <f>IF(ISERROR(Y16*100000000/'Calc-Units'!$E$21)," ",Y16*100000000/'Calc-Units'!$E$21)</f>
        <v>0.005845456026528444</v>
      </c>
      <c r="AF16" s="78">
        <f>IF(ISERROR(Z16*100000000/'Calc-Units'!$D$21)," ",Z16*100000000/'Calc-Units'!$D$21)</f>
        <v>0.0017035594317816646</v>
      </c>
      <c r="AG16" s="78">
        <f>IF(ISERROR(AA16*100000000/'Calc-Units'!$C$21)," ",AA16*100000000/'Calc-Units'!$C$21)</f>
        <v>0.0007810824937835084</v>
      </c>
      <c r="AH16" s="232">
        <f>IF(ISERROR(AB16*100000000/'Calc-Units'!$C$21)," ",AB16*100000000/'Calc-Units'!$C$21)</f>
        <v>0.010754963487660715</v>
      </c>
      <c r="AI16" s="85"/>
      <c r="AJ16" s="81">
        <v>0.5257</v>
      </c>
      <c r="AK16" s="73">
        <f t="shared" si="3"/>
        <v>2.328859538187908</v>
      </c>
      <c r="AL16" s="74">
        <f t="shared" si="4"/>
        <v>2.1011567033717427</v>
      </c>
      <c r="AM16" s="73"/>
      <c r="AN16" s="73"/>
      <c r="AO16" s="76">
        <f t="shared" si="5"/>
        <v>0.8141423958369983</v>
      </c>
      <c r="AP16" s="76">
        <f t="shared" si="5"/>
        <v>0.2317718285231978</v>
      </c>
      <c r="AQ16" s="76">
        <f t="shared" si="5"/>
        <v>0.07144834793294079</v>
      </c>
      <c r="AR16" s="141">
        <f t="shared" si="5"/>
        <v>0.9837941310786055</v>
      </c>
      <c r="AS16" s="77"/>
      <c r="AT16" s="85"/>
      <c r="AU16" s="78">
        <f>IF(ISERROR(AO16*100000000/'Calc-Units'!$E$21)," ",AO16*100000000/'Calc-Units'!$E$21)</f>
        <v>0.0027724997933824417</v>
      </c>
      <c r="AV16" s="78">
        <f>IF(ISERROR(AP16*100000000/'Calc-Units'!$D$21)," ",AP16*100000000/'Calc-Units'!$D$21)</f>
        <v>0.0008079982384940437</v>
      </c>
      <c r="AW16" s="78">
        <f>IF(ISERROR(AQ16*100000000/'Calc-Units'!$C$21)," ",AQ16*100000000/'Calc-Units'!$C$21)</f>
        <v>0.00037046742680151815</v>
      </c>
      <c r="AX16" s="232">
        <f>IF(ISERROR(AR16*100000000/'Calc-Units'!$C$21)," ",AR16*100000000/'Calc-Units'!$C$21)</f>
        <v>0.005101079182197477</v>
      </c>
      <c r="AZ16" s="83"/>
      <c r="BA16" s="83"/>
    </row>
    <row r="17" spans="1:53" s="86" customFormat="1" ht="12.75">
      <c r="A17" s="88"/>
      <c r="B17" s="87"/>
      <c r="C17" s="108" t="s">
        <v>559</v>
      </c>
      <c r="D17" s="121">
        <f>'RRP 1.3'!O$12</f>
        <v>1.5094657008872003</v>
      </c>
      <c r="E17" s="121">
        <v>0</v>
      </c>
      <c r="F17" s="121">
        <v>0</v>
      </c>
      <c r="G17" s="121">
        <v>0</v>
      </c>
      <c r="H17" s="121">
        <v>0</v>
      </c>
      <c r="I17" s="121">
        <f t="shared" si="0"/>
        <v>1.5094657008872003</v>
      </c>
      <c r="J17" s="113"/>
      <c r="K17" s="82"/>
      <c r="L17" s="121" t="s">
        <v>195</v>
      </c>
      <c r="M17" s="134">
        <f>IF(ISERROR(VLOOKUP($L17,'Calc-Drivers'!$B$17:$F$27,M$42,FALSE))," ",VLOOKUP($L17,'Calc-Drivers'!$B$17:$F$27,M$42,FALSE))</f>
        <v>0.3874734304826183</v>
      </c>
      <c r="N17" s="134">
        <f>IF(ISERROR(VLOOKUP($L17,'Calc-Drivers'!$B$17:$F$27,N$42,FALSE))," ",VLOOKUP($L17,'Calc-Drivers'!$B$17:$F$27,N$42,FALSE))</f>
        <v>0.11030677919037249</v>
      </c>
      <c r="O17" s="134">
        <f>IF(ISERROR(VLOOKUP($L17,'Calc-Drivers'!$B$17:$F$27,O$42,FALSE))," ",VLOOKUP($L17,'Calc-Drivers'!$B$17:$F$27,O$42,FALSE))</f>
        <v>0.03400429288224294</v>
      </c>
      <c r="P17" s="134">
        <f>IF(ISERROR(VLOOKUP($L17,'Calc-Drivers'!$B$17:$F$27,P$42,FALSE))," ",VLOOKUP($L17,'Calc-Drivers'!$B$17:$F$27,P$42,FALSE))</f>
        <v>0.4682154974447662</v>
      </c>
      <c r="Q17" s="148"/>
      <c r="R17" s="75"/>
      <c r="S17" s="76">
        <f t="shared" si="1"/>
        <v>0.5848778533186133</v>
      </c>
      <c r="T17" s="76">
        <f t="shared" si="1"/>
        <v>0.16650429976320524</v>
      </c>
      <c r="U17" s="76">
        <f t="shared" si="1"/>
        <v>0.05132831378866847</v>
      </c>
      <c r="V17" s="141">
        <f t="shared" si="1"/>
        <v>0.7067552340167131</v>
      </c>
      <c r="W17" s="77"/>
      <c r="X17" s="83"/>
      <c r="Y17" s="76">
        <f t="shared" si="2"/>
        <v>0.5848778533186133</v>
      </c>
      <c r="Z17" s="76">
        <f t="shared" si="2"/>
        <v>0.16650429976320524</v>
      </c>
      <c r="AA17" s="76">
        <f t="shared" si="2"/>
        <v>0.05132831378866847</v>
      </c>
      <c r="AB17" s="141">
        <f t="shared" si="2"/>
        <v>0.7067552340167131</v>
      </c>
      <c r="AC17" s="84"/>
      <c r="AD17" s="84"/>
      <c r="AE17" s="78">
        <f>IF(ISERROR(Y17*100000000/'Calc-Units'!$E$21)," ",Y17*100000000/'Calc-Units'!$E$21)</f>
        <v>0.0019917568913884213</v>
      </c>
      <c r="AF17" s="78">
        <f>IF(ISERROR(Z17*100000000/'Calc-Units'!$D$21)," ",Z17*100000000/'Calc-Units'!$D$21)</f>
        <v>0.0005804639061079356</v>
      </c>
      <c r="AG17" s="78">
        <f>IF(ISERROR(AA17*100000000/'Calc-Units'!$C$21)," ",AA17*100000000/'Calc-Units'!$C$21)</f>
        <v>0.00026614286938021607</v>
      </c>
      <c r="AH17" s="232">
        <f>IF(ISERROR(AB17*100000000/'Calc-Units'!$C$21)," ",AB17*100000000/'Calc-Units'!$C$21)</f>
        <v>0.00366460247856846</v>
      </c>
      <c r="AI17" s="85"/>
      <c r="AJ17" s="81">
        <v>0.5257</v>
      </c>
      <c r="AK17" s="73">
        <f t="shared" si="3"/>
        <v>0.7935261189564011</v>
      </c>
      <c r="AL17" s="74">
        <f t="shared" si="4"/>
        <v>0.7159395819307992</v>
      </c>
      <c r="AM17" s="73"/>
      <c r="AN17" s="73"/>
      <c r="AO17" s="76">
        <f t="shared" si="5"/>
        <v>0.2774075658290183</v>
      </c>
      <c r="AP17" s="76">
        <f t="shared" si="5"/>
        <v>0.07897298937768826</v>
      </c>
      <c r="AQ17" s="76">
        <f t="shared" si="5"/>
        <v>0.02434501922996546</v>
      </c>
      <c r="AR17" s="141">
        <f t="shared" si="5"/>
        <v>0.3352140074941271</v>
      </c>
      <c r="AS17" s="77"/>
      <c r="AT17" s="85"/>
      <c r="AU17" s="78">
        <f>IF(ISERROR(AO17*100000000/'Calc-Units'!$E$21)," ",AO17*100000000/'Calc-Units'!$E$21)</f>
        <v>0.0009446902935855283</v>
      </c>
      <c r="AV17" s="78">
        <f>IF(ISERROR(AP17*100000000/'Calc-Units'!$D$21)," ",AP17*100000000/'Calc-Units'!$D$21)</f>
        <v>0.00027531403066699393</v>
      </c>
      <c r="AW17" s="78">
        <f>IF(ISERROR(AQ17*100000000/'Calc-Units'!$C$21)," ",AQ17*100000000/'Calc-Units'!$C$21)</f>
        <v>0.00012623156294703648</v>
      </c>
      <c r="AX17" s="232">
        <f>IF(ISERROR(AR17*100000000/'Calc-Units'!$C$21)," ",AR17*100000000/'Calc-Units'!$C$21)</f>
        <v>0.0017381209555850207</v>
      </c>
      <c r="AZ17" s="83"/>
      <c r="BA17" s="83"/>
    </row>
    <row r="18" spans="1:53" s="86" customFormat="1" ht="12.75">
      <c r="A18" s="88"/>
      <c r="B18" s="87"/>
      <c r="C18" s="108" t="s">
        <v>60</v>
      </c>
      <c r="D18" s="121">
        <f>'RRP 1.3'!P$12</f>
        <v>1.3239399267640004</v>
      </c>
      <c r="E18" s="121">
        <v>0</v>
      </c>
      <c r="F18" s="121">
        <v>0</v>
      </c>
      <c r="G18" s="121">
        <v>0</v>
      </c>
      <c r="H18" s="121">
        <v>0</v>
      </c>
      <c r="I18" s="121">
        <f t="shared" si="0"/>
        <v>1.3239399267640004</v>
      </c>
      <c r="J18" s="113"/>
      <c r="K18" s="82"/>
      <c r="L18" s="121" t="s">
        <v>195</v>
      </c>
      <c r="M18" s="134">
        <f>IF(ISERROR(VLOOKUP($L18,'Calc-Drivers'!$B$17:$F$27,M$42,FALSE))," ",VLOOKUP($L18,'Calc-Drivers'!$B$17:$F$27,M$42,FALSE))</f>
        <v>0.3874734304826183</v>
      </c>
      <c r="N18" s="134">
        <f>IF(ISERROR(VLOOKUP($L18,'Calc-Drivers'!$B$17:$F$27,N$42,FALSE))," ",VLOOKUP($L18,'Calc-Drivers'!$B$17:$F$27,N$42,FALSE))</f>
        <v>0.11030677919037249</v>
      </c>
      <c r="O18" s="134">
        <f>IF(ISERROR(VLOOKUP($L18,'Calc-Drivers'!$B$17:$F$27,O$42,FALSE))," ",VLOOKUP($L18,'Calc-Drivers'!$B$17:$F$27,O$42,FALSE))</f>
        <v>0.03400429288224294</v>
      </c>
      <c r="P18" s="134">
        <f>IF(ISERROR(VLOOKUP($L18,'Calc-Drivers'!$B$17:$F$27,P$42,FALSE))," ",VLOOKUP($L18,'Calc-Drivers'!$B$17:$F$27,P$42,FALSE))</f>
        <v>0.4682154974447662</v>
      </c>
      <c r="Q18" s="148"/>
      <c r="R18" s="75"/>
      <c r="S18" s="76">
        <f t="shared" si="1"/>
        <v>0.5129915451761536</v>
      </c>
      <c r="T18" s="76">
        <f t="shared" si="1"/>
        <v>0.1460395491628745</v>
      </c>
      <c r="U18" s="76">
        <f t="shared" si="1"/>
        <v>0.045019641028178334</v>
      </c>
      <c r="V18" s="141">
        <f t="shared" si="1"/>
        <v>0.6198891913967938</v>
      </c>
      <c r="W18" s="77"/>
      <c r="X18" s="83"/>
      <c r="Y18" s="76">
        <f t="shared" si="2"/>
        <v>0.5129915451761536</v>
      </c>
      <c r="Z18" s="76">
        <f t="shared" si="2"/>
        <v>0.1460395491628745</v>
      </c>
      <c r="AA18" s="76">
        <f t="shared" si="2"/>
        <v>0.045019641028178334</v>
      </c>
      <c r="AB18" s="141">
        <f t="shared" si="2"/>
        <v>0.6198891913967938</v>
      </c>
      <c r="AC18" s="84"/>
      <c r="AD18" s="84"/>
      <c r="AE18" s="78">
        <f>IF(ISERROR(Y18*100000000/'Calc-Units'!$E$21)," ",Y18*100000000/'Calc-Units'!$E$21)</f>
        <v>0.0017469535553981661</v>
      </c>
      <c r="AF18" s="78">
        <f>IF(ISERROR(Z18*100000000/'Calc-Units'!$D$21)," ",Z18*100000000/'Calc-Units'!$D$21)</f>
        <v>0.0005091201084529409</v>
      </c>
      <c r="AG18" s="78">
        <f>IF(ISERROR(AA18*100000000/'Calc-Units'!$C$21)," ",AA18*100000000/'Calc-Units'!$C$21)</f>
        <v>0.00023343171745399946</v>
      </c>
      <c r="AH18" s="232">
        <f>IF(ISERROR(AB18*100000000/'Calc-Units'!$C$21)," ",AB18*100000000/'Calc-Units'!$C$21)</f>
        <v>0.003214192634018427</v>
      </c>
      <c r="AI18" s="85"/>
      <c r="AJ18" s="81">
        <v>0.5257</v>
      </c>
      <c r="AK18" s="73">
        <f t="shared" si="3"/>
        <v>0.6959952194998349</v>
      </c>
      <c r="AL18" s="74">
        <f t="shared" si="4"/>
        <v>0.6279447072641655</v>
      </c>
      <c r="AM18" s="73"/>
      <c r="AN18" s="73"/>
      <c r="AO18" s="76">
        <f t="shared" si="5"/>
        <v>0.2433118898770497</v>
      </c>
      <c r="AP18" s="76">
        <f t="shared" si="5"/>
        <v>0.0692665581679514</v>
      </c>
      <c r="AQ18" s="76">
        <f t="shared" si="5"/>
        <v>0.021352815739664986</v>
      </c>
      <c r="AR18" s="141">
        <f t="shared" si="5"/>
        <v>0.2940134434794993</v>
      </c>
      <c r="AS18" s="77"/>
      <c r="AT18" s="85"/>
      <c r="AU18" s="78">
        <f>IF(ISERROR(AO18*100000000/'Calc-Units'!$E$21)," ",AO18*100000000/'Calc-Units'!$E$21)</f>
        <v>0.0008285800713253503</v>
      </c>
      <c r="AV18" s="78">
        <f>IF(ISERROR(AP18*100000000/'Calc-Units'!$D$21)," ",AP18*100000000/'Calc-Units'!$D$21)</f>
        <v>0.00024147566743922994</v>
      </c>
      <c r="AW18" s="78">
        <f>IF(ISERROR(AQ18*100000000/'Calc-Units'!$C$21)," ",AQ18*100000000/'Calc-Units'!$C$21)</f>
        <v>0.00011071666358843194</v>
      </c>
      <c r="AX18" s="232">
        <f>IF(ISERROR(AR18*100000000/'Calc-Units'!$C$21)," ",AR18*100000000/'Calc-Units'!$C$21)</f>
        <v>0.00152449156631494</v>
      </c>
      <c r="AZ18" s="83"/>
      <c r="BA18" s="83"/>
    </row>
    <row r="19" spans="1:53" s="86" customFormat="1" ht="12.75">
      <c r="A19" s="88"/>
      <c r="B19" s="87"/>
      <c r="C19" s="108" t="s">
        <v>61</v>
      </c>
      <c r="D19" s="121">
        <f>'RRP 1.3'!Q$12</f>
        <v>1.562325762189239</v>
      </c>
      <c r="E19" s="121">
        <v>0</v>
      </c>
      <c r="F19" s="121">
        <v>0</v>
      </c>
      <c r="G19" s="121">
        <v>0</v>
      </c>
      <c r="H19" s="121">
        <v>0</v>
      </c>
      <c r="I19" s="121">
        <f t="shared" si="0"/>
        <v>1.562325762189239</v>
      </c>
      <c r="J19" s="113"/>
      <c r="K19" s="82"/>
      <c r="L19" s="121" t="s">
        <v>195</v>
      </c>
      <c r="M19" s="134">
        <f>IF(ISERROR(VLOOKUP($L19,'Calc-Drivers'!$B$17:$F$27,M$42,FALSE))," ",VLOOKUP($L19,'Calc-Drivers'!$B$17:$F$27,M$42,FALSE))</f>
        <v>0.3874734304826183</v>
      </c>
      <c r="N19" s="134">
        <f>IF(ISERROR(VLOOKUP($L19,'Calc-Drivers'!$B$17:$F$27,N$42,FALSE))," ",VLOOKUP($L19,'Calc-Drivers'!$B$17:$F$27,N$42,FALSE))</f>
        <v>0.11030677919037249</v>
      </c>
      <c r="O19" s="134">
        <f>IF(ISERROR(VLOOKUP($L19,'Calc-Drivers'!$B$17:$F$27,O$42,FALSE))," ",VLOOKUP($L19,'Calc-Drivers'!$B$17:$F$27,O$42,FALSE))</f>
        <v>0.03400429288224294</v>
      </c>
      <c r="P19" s="134">
        <f>IF(ISERROR(VLOOKUP($L19,'Calc-Drivers'!$B$17:$F$27,P$42,FALSE))," ",VLOOKUP($L19,'Calc-Drivers'!$B$17:$F$27,P$42,FALSE))</f>
        <v>0.4682154974447662</v>
      </c>
      <c r="Q19" s="148"/>
      <c r="R19" s="75"/>
      <c r="S19" s="76">
        <f t="shared" si="1"/>
        <v>0.6053597226068357</v>
      </c>
      <c r="T19" s="76">
        <f t="shared" si="1"/>
        <v>0.1723351228732388</v>
      </c>
      <c r="U19" s="76">
        <f t="shared" si="1"/>
        <v>0.05312578279495631</v>
      </c>
      <c r="V19" s="141">
        <f t="shared" si="1"/>
        <v>0.731505133914208</v>
      </c>
      <c r="W19" s="77"/>
      <c r="X19" s="83"/>
      <c r="Y19" s="76">
        <f t="shared" si="2"/>
        <v>0.6053597226068357</v>
      </c>
      <c r="Z19" s="76">
        <f t="shared" si="2"/>
        <v>0.1723351228732388</v>
      </c>
      <c r="AA19" s="76">
        <f t="shared" si="2"/>
        <v>0.05312578279495631</v>
      </c>
      <c r="AB19" s="141">
        <f t="shared" si="2"/>
        <v>0.731505133914208</v>
      </c>
      <c r="AC19" s="84"/>
      <c r="AD19" s="84"/>
      <c r="AE19" s="78">
        <f>IF(ISERROR(Y19*100000000/'Calc-Units'!$E$21)," ",Y19*100000000/'Calc-Units'!$E$21)</f>
        <v>0.002061506334065832</v>
      </c>
      <c r="AF19" s="78">
        <f>IF(ISERROR(Z19*100000000/'Calc-Units'!$D$21)," ",Z19*100000000/'Calc-Units'!$D$21)</f>
        <v>0.000600791203139231</v>
      </c>
      <c r="AG19" s="78">
        <f>IF(ISERROR(AA19*100000000/'Calc-Units'!$C$21)," ",AA19*100000000/'Calc-Units'!$C$21)</f>
        <v>0.0002754629409673147</v>
      </c>
      <c r="AH19" s="232">
        <f>IF(ISERROR(AB19*100000000/'Calc-Units'!$C$21)," ",AB19*100000000/'Calc-Units'!$C$21)</f>
        <v>0.003792933391653054</v>
      </c>
      <c r="AI19" s="85"/>
      <c r="AJ19" s="81">
        <v>0.5257</v>
      </c>
      <c r="AK19" s="73">
        <f t="shared" si="3"/>
        <v>0.8213146531828829</v>
      </c>
      <c r="AL19" s="74">
        <f t="shared" si="4"/>
        <v>0.7410111090063561</v>
      </c>
      <c r="AM19" s="73"/>
      <c r="AN19" s="73"/>
      <c r="AO19" s="76">
        <f t="shared" si="5"/>
        <v>0.2871221164324222</v>
      </c>
      <c r="AP19" s="76">
        <f t="shared" si="5"/>
        <v>0.08173854877877718</v>
      </c>
      <c r="AQ19" s="76">
        <f t="shared" si="5"/>
        <v>0.025197558779647782</v>
      </c>
      <c r="AR19" s="141">
        <f t="shared" si="5"/>
        <v>0.3469528850155089</v>
      </c>
      <c r="AS19" s="77"/>
      <c r="AT19" s="85"/>
      <c r="AU19" s="78">
        <f>IF(ISERROR(AO19*100000000/'Calc-Units'!$E$21)," ",AO19*100000000/'Calc-Units'!$E$21)</f>
        <v>0.0009777724542474242</v>
      </c>
      <c r="AV19" s="78">
        <f>IF(ISERROR(AP19*100000000/'Calc-Units'!$D$21)," ",AP19*100000000/'Calc-Units'!$D$21)</f>
        <v>0.0002849552676489373</v>
      </c>
      <c r="AW19" s="78">
        <f>IF(ISERROR(AQ19*100000000/'Calc-Units'!$C$21)," ",AQ19*100000000/'Calc-Units'!$C$21)</f>
        <v>0.0001306520729007974</v>
      </c>
      <c r="AX19" s="232">
        <f>IF(ISERROR(AR19*100000000/'Calc-Units'!$C$21)," ",AR19*100000000/'Calc-Units'!$C$21)</f>
        <v>0.0017989883076610438</v>
      </c>
      <c r="AZ19" s="83"/>
      <c r="BA19" s="83"/>
    </row>
    <row r="20" spans="1:53" s="86" customFormat="1" ht="12.75">
      <c r="A20" s="88"/>
      <c r="B20" s="87"/>
      <c r="C20" s="108" t="s">
        <v>551</v>
      </c>
      <c r="D20" s="121">
        <f>'RRP 1.3'!R$12</f>
        <v>6.15104438548</v>
      </c>
      <c r="E20" s="121">
        <v>0</v>
      </c>
      <c r="F20" s="121">
        <v>0</v>
      </c>
      <c r="G20" s="121">
        <v>0</v>
      </c>
      <c r="H20" s="121">
        <v>0</v>
      </c>
      <c r="I20" s="121">
        <f t="shared" si="0"/>
        <v>6.15104438548</v>
      </c>
      <c r="J20" s="113"/>
      <c r="K20" s="82"/>
      <c r="L20" s="121" t="s">
        <v>195</v>
      </c>
      <c r="M20" s="134">
        <f>IF(ISERROR(VLOOKUP($L20,'Calc-Drivers'!$B$17:$F$27,M$42,FALSE))," ",VLOOKUP($L20,'Calc-Drivers'!$B$17:$F$27,M$42,FALSE))</f>
        <v>0.3874734304826183</v>
      </c>
      <c r="N20" s="134">
        <f>IF(ISERROR(VLOOKUP($L20,'Calc-Drivers'!$B$17:$F$27,N$42,FALSE))," ",VLOOKUP($L20,'Calc-Drivers'!$B$17:$F$27,N$42,FALSE))</f>
        <v>0.11030677919037249</v>
      </c>
      <c r="O20" s="134">
        <f>IF(ISERROR(VLOOKUP($L20,'Calc-Drivers'!$B$17:$F$27,O$42,FALSE))," ",VLOOKUP($L20,'Calc-Drivers'!$B$17:$F$27,O$42,FALSE))</f>
        <v>0.03400429288224294</v>
      </c>
      <c r="P20" s="134">
        <f>IF(ISERROR(VLOOKUP($L20,'Calc-Drivers'!$B$17:$F$27,P$42,FALSE))," ",VLOOKUP($L20,'Calc-Drivers'!$B$17:$F$27,P$42,FALSE))</f>
        <v>0.4682154974447662</v>
      </c>
      <c r="Q20" s="148"/>
      <c r="R20" s="75"/>
      <c r="S20" s="76">
        <f t="shared" si="1"/>
        <v>2.383366269092784</v>
      </c>
      <c r="T20" s="76">
        <f t="shared" si="1"/>
        <v>0.6785018948193228</v>
      </c>
      <c r="U20" s="76">
        <f t="shared" si="1"/>
        <v>0.20916191481553792</v>
      </c>
      <c r="V20" s="141">
        <f t="shared" si="1"/>
        <v>2.8800143067523543</v>
      </c>
      <c r="W20" s="77"/>
      <c r="X20" s="83"/>
      <c r="Y20" s="76">
        <f t="shared" si="2"/>
        <v>2.383366269092784</v>
      </c>
      <c r="Z20" s="76">
        <f t="shared" si="2"/>
        <v>0.6785018948193228</v>
      </c>
      <c r="AA20" s="76">
        <f t="shared" si="2"/>
        <v>0.20916191481553792</v>
      </c>
      <c r="AB20" s="141">
        <f t="shared" si="2"/>
        <v>2.8800143067523543</v>
      </c>
      <c r="AC20" s="84"/>
      <c r="AD20" s="84"/>
      <c r="AE20" s="78">
        <f>IF(ISERROR(Y20*100000000/'Calc-Units'!$E$21)," ",Y20*100000000/'Calc-Units'!$E$21)</f>
        <v>0.008116371930024643</v>
      </c>
      <c r="AF20" s="78">
        <f>IF(ISERROR(Z20*100000000/'Calc-Units'!$D$21)," ",Z20*100000000/'Calc-Units'!$D$21)</f>
        <v>0.0023653795170969715</v>
      </c>
      <c r="AG20" s="78">
        <f>IF(ISERROR(AA20*100000000/'Calc-Units'!$C$21)," ",AA20*100000000/'Calc-Units'!$C$21)</f>
        <v>0.0010845271949369384</v>
      </c>
      <c r="AH20" s="232">
        <f>IF(ISERROR(AB20*100000000/'Calc-Units'!$C$21)," ",AB20*100000000/'Calc-Units'!$C$21)</f>
        <v>0.014933186284104297</v>
      </c>
      <c r="AI20" s="85"/>
      <c r="AJ20" s="81">
        <v>0.5257</v>
      </c>
      <c r="AK20" s="73">
        <f t="shared" si="3"/>
        <v>3.2336040334468357</v>
      </c>
      <c r="AL20" s="74">
        <f t="shared" si="4"/>
        <v>2.917440352033164</v>
      </c>
      <c r="AM20" s="73"/>
      <c r="AN20" s="73"/>
      <c r="AO20" s="76">
        <f t="shared" si="5"/>
        <v>1.1304306214307076</v>
      </c>
      <c r="AP20" s="76">
        <f t="shared" si="5"/>
        <v>0.3218134487128048</v>
      </c>
      <c r="AQ20" s="76">
        <f t="shared" si="5"/>
        <v>0.09920549619700965</v>
      </c>
      <c r="AR20" s="141">
        <f t="shared" si="5"/>
        <v>1.3659907856926419</v>
      </c>
      <c r="AS20" s="77"/>
      <c r="AT20" s="85"/>
      <c r="AU20" s="78">
        <f>IF(ISERROR(AO20*100000000/'Calc-Units'!$E$21)," ",AO20*100000000/'Calc-Units'!$E$21)</f>
        <v>0.003849595206410688</v>
      </c>
      <c r="AV20" s="78">
        <f>IF(ISERROR(AP20*100000000/'Calc-Units'!$D$21)," ",AP20*100000000/'Calc-Units'!$D$21)</f>
        <v>0.0011218995049590936</v>
      </c>
      <c r="AW20" s="78">
        <f>IF(ISERROR(AQ20*100000000/'Calc-Units'!$C$21)," ",AQ20*100000000/'Calc-Units'!$C$21)</f>
        <v>0.0005143912485585898</v>
      </c>
      <c r="AX20" s="232">
        <f>IF(ISERROR(AR20*100000000/'Calc-Units'!$C$21)," ",AR20*100000000/'Calc-Units'!$C$21)</f>
        <v>0.007082810254550667</v>
      </c>
      <c r="AZ20" s="83"/>
      <c r="BA20" s="83"/>
    </row>
    <row r="21" spans="1:53" s="86" customFormat="1" ht="12.75">
      <c r="A21" s="88"/>
      <c r="B21" s="87"/>
      <c r="C21" s="108" t="s">
        <v>396</v>
      </c>
      <c r="D21" s="121">
        <f>'RRP 1.3'!S$12</f>
        <v>10.240069047105548</v>
      </c>
      <c r="E21" s="121">
        <v>0</v>
      </c>
      <c r="F21" s="121">
        <v>0</v>
      </c>
      <c r="G21" s="121">
        <v>0</v>
      </c>
      <c r="H21" s="121">
        <v>0</v>
      </c>
      <c r="I21" s="121">
        <f t="shared" si="0"/>
        <v>10.240069047105548</v>
      </c>
      <c r="J21" s="113"/>
      <c r="K21" s="82"/>
      <c r="L21" s="121" t="s">
        <v>175</v>
      </c>
      <c r="M21" s="134" t="str">
        <f>IF(ISERROR(VLOOKUP($L21,'Calc-Drivers'!$B$17:$F$27,M$42,FALSE))," ",VLOOKUP($L21,'Calc-Drivers'!$B$17:$F$27,M$42,FALSE))</f>
        <v> </v>
      </c>
      <c r="N21" s="134" t="str">
        <f>IF(ISERROR(VLOOKUP($L21,'Calc-Drivers'!$B$17:$F$27,N$42,FALSE))," ",VLOOKUP($L21,'Calc-Drivers'!$B$17:$F$27,N$42,FALSE))</f>
        <v> </v>
      </c>
      <c r="O21" s="134" t="str">
        <f>IF(ISERROR(VLOOKUP($L21,'Calc-Drivers'!$B$17:$F$27,O$42,FALSE))," ",VLOOKUP($L21,'Calc-Drivers'!$B$17:$F$27,O$42,FALSE))</f>
        <v> </v>
      </c>
      <c r="P21" s="134" t="str">
        <f>IF(ISERROR(VLOOKUP($L21,'Calc-Drivers'!$B$17:$F$27,P$42,FALSE))," ",VLOOKUP($L21,'Calc-Drivers'!$B$17:$F$27,P$42,FALSE))</f>
        <v> </v>
      </c>
      <c r="Q21" s="148"/>
      <c r="R21" s="75"/>
      <c r="S21" s="76" t="str">
        <f t="shared" si="1"/>
        <v> </v>
      </c>
      <c r="T21" s="76" t="str">
        <f t="shared" si="1"/>
        <v> </v>
      </c>
      <c r="U21" s="76" t="str">
        <f t="shared" si="1"/>
        <v> </v>
      </c>
      <c r="V21" s="141" t="str">
        <f t="shared" si="1"/>
        <v> </v>
      </c>
      <c r="W21" s="77"/>
      <c r="X21" s="83"/>
      <c r="Y21" s="76" t="str">
        <f t="shared" si="2"/>
        <v> </v>
      </c>
      <c r="Z21" s="76" t="str">
        <f t="shared" si="2"/>
        <v> </v>
      </c>
      <c r="AA21" s="76" t="str">
        <f t="shared" si="2"/>
        <v> </v>
      </c>
      <c r="AB21" s="141" t="str">
        <f t="shared" si="2"/>
        <v> </v>
      </c>
      <c r="AC21" s="84"/>
      <c r="AD21" s="84"/>
      <c r="AE21" s="78" t="str">
        <f>IF(ISERROR(Y21*100000000/'Calc-Units'!$E$21)," ",Y21*100000000/'Calc-Units'!$E$21)</f>
        <v> </v>
      </c>
      <c r="AF21" s="78" t="str">
        <f>IF(ISERROR(Z21*100000000/'Calc-Units'!$D$21)," ",Z21*100000000/'Calc-Units'!$D$21)</f>
        <v> </v>
      </c>
      <c r="AG21" s="78" t="str">
        <f>IF(ISERROR(AA21*100000000/'Calc-Units'!$C$21)," ",AA21*100000000/'Calc-Units'!$C$21)</f>
        <v> </v>
      </c>
      <c r="AH21" s="232" t="str">
        <f>IF(ISERROR(AB21*100000000/'Calc-Units'!$C$21)," ",AB21*100000000/'Calc-Units'!$C$21)</f>
        <v> </v>
      </c>
      <c r="AI21" s="85"/>
      <c r="AJ21" s="81">
        <v>0.5257</v>
      </c>
      <c r="AK21" s="73">
        <f t="shared" si="3"/>
        <v>5.383204298063386</v>
      </c>
      <c r="AL21" s="74">
        <f t="shared" si="4"/>
        <v>4.856864749042162</v>
      </c>
      <c r="AM21" s="73"/>
      <c r="AN21" s="73"/>
      <c r="AO21" s="76" t="str">
        <f t="shared" si="5"/>
        <v> </v>
      </c>
      <c r="AP21" s="76" t="str">
        <f t="shared" si="5"/>
        <v> </v>
      </c>
      <c r="AQ21" s="76" t="str">
        <f t="shared" si="5"/>
        <v> </v>
      </c>
      <c r="AR21" s="141" t="str">
        <f t="shared" si="5"/>
        <v> </v>
      </c>
      <c r="AS21" s="77"/>
      <c r="AT21" s="85"/>
      <c r="AU21" s="78" t="str">
        <f>IF(ISERROR(AO21*100000000/'Calc-Units'!$E$21)," ",AO21*100000000/'Calc-Units'!$E$21)</f>
        <v> </v>
      </c>
      <c r="AV21" s="78" t="str">
        <f>IF(ISERROR(AP21*100000000/'Calc-Units'!$D$21)," ",AP21*100000000/'Calc-Units'!$D$21)</f>
        <v> </v>
      </c>
      <c r="AW21" s="78" t="str">
        <f>IF(ISERROR(AQ21*100000000/'Calc-Units'!$C$21)," ",AQ21*100000000/'Calc-Units'!$C$21)</f>
        <v> </v>
      </c>
      <c r="AX21" s="232" t="str">
        <f>IF(ISERROR(AR21*100000000/'Calc-Units'!$C$21)," ",AR21*100000000/'Calc-Units'!$C$21)</f>
        <v> </v>
      </c>
      <c r="AZ21" s="83"/>
      <c r="BA21" s="83"/>
    </row>
    <row r="22" spans="1:53" s="86" customFormat="1" ht="12.75">
      <c r="A22" s="88"/>
      <c r="B22" s="87"/>
      <c r="C22" s="108" t="s">
        <v>550</v>
      </c>
      <c r="D22" s="121">
        <f>'RRP 1.3'!T$12</f>
        <v>4.583609038239856</v>
      </c>
      <c r="E22" s="121">
        <v>0</v>
      </c>
      <c r="F22" s="121">
        <v>0</v>
      </c>
      <c r="G22" s="121">
        <v>0</v>
      </c>
      <c r="H22" s="121">
        <v>0</v>
      </c>
      <c r="I22" s="121">
        <f t="shared" si="0"/>
        <v>4.583609038239856</v>
      </c>
      <c r="J22" s="113"/>
      <c r="K22" s="82"/>
      <c r="L22" s="121" t="s">
        <v>175</v>
      </c>
      <c r="M22" s="134" t="str">
        <f>IF(ISERROR(VLOOKUP($L22,'Calc-Drivers'!$B$17:$F$27,M$42,FALSE))," ",VLOOKUP($L22,'Calc-Drivers'!$B$17:$F$27,M$42,FALSE))</f>
        <v> </v>
      </c>
      <c r="N22" s="134" t="str">
        <f>IF(ISERROR(VLOOKUP($L22,'Calc-Drivers'!$B$17:$F$27,N$42,FALSE))," ",VLOOKUP($L22,'Calc-Drivers'!$B$17:$F$27,N$42,FALSE))</f>
        <v> </v>
      </c>
      <c r="O22" s="134" t="str">
        <f>IF(ISERROR(VLOOKUP($L22,'Calc-Drivers'!$B$17:$F$27,O$42,FALSE))," ",VLOOKUP($L22,'Calc-Drivers'!$B$17:$F$27,O$42,FALSE))</f>
        <v> </v>
      </c>
      <c r="P22" s="134" t="str">
        <f>IF(ISERROR(VLOOKUP($L22,'Calc-Drivers'!$B$17:$F$27,P$42,FALSE))," ",VLOOKUP($L22,'Calc-Drivers'!$B$17:$F$27,P$42,FALSE))</f>
        <v> </v>
      </c>
      <c r="Q22" s="148"/>
      <c r="R22" s="75"/>
      <c r="S22" s="76" t="str">
        <f t="shared" si="1"/>
        <v> </v>
      </c>
      <c r="T22" s="76" t="str">
        <f t="shared" si="1"/>
        <v> </v>
      </c>
      <c r="U22" s="76" t="str">
        <f t="shared" si="1"/>
        <v> </v>
      </c>
      <c r="V22" s="141" t="str">
        <f t="shared" si="1"/>
        <v> </v>
      </c>
      <c r="W22" s="77"/>
      <c r="X22" s="83"/>
      <c r="Y22" s="76" t="str">
        <f t="shared" si="2"/>
        <v> </v>
      </c>
      <c r="Z22" s="76" t="str">
        <f t="shared" si="2"/>
        <v> </v>
      </c>
      <c r="AA22" s="76" t="str">
        <f t="shared" si="2"/>
        <v> </v>
      </c>
      <c r="AB22" s="141" t="str">
        <f t="shared" si="2"/>
        <v> </v>
      </c>
      <c r="AC22" s="84"/>
      <c r="AD22" s="84"/>
      <c r="AE22" s="78" t="str">
        <f>IF(ISERROR(Y22*100000000/'Calc-Units'!$E$21)," ",Y22*100000000/'Calc-Units'!$E$21)</f>
        <v> </v>
      </c>
      <c r="AF22" s="78" t="str">
        <f>IF(ISERROR(Z22*100000000/'Calc-Units'!$D$21)," ",Z22*100000000/'Calc-Units'!$D$21)</f>
        <v> </v>
      </c>
      <c r="AG22" s="78" t="str">
        <f>IF(ISERROR(AA22*100000000/'Calc-Units'!$C$21)," ",AA22*100000000/'Calc-Units'!$C$21)</f>
        <v> </v>
      </c>
      <c r="AH22" s="232" t="str">
        <f>IF(ISERROR(AB22*100000000/'Calc-Units'!$C$21)," ",AB22*100000000/'Calc-Units'!$C$21)</f>
        <v> </v>
      </c>
      <c r="AI22" s="85"/>
      <c r="AJ22" s="81">
        <v>0.5257</v>
      </c>
      <c r="AK22" s="73">
        <f t="shared" si="3"/>
        <v>2.409603271402692</v>
      </c>
      <c r="AL22" s="74">
        <f t="shared" si="4"/>
        <v>2.1740057668371637</v>
      </c>
      <c r="AM22" s="73"/>
      <c r="AN22" s="73"/>
      <c r="AO22" s="76" t="str">
        <f t="shared" si="5"/>
        <v> </v>
      </c>
      <c r="AP22" s="76" t="str">
        <f t="shared" si="5"/>
        <v> </v>
      </c>
      <c r="AQ22" s="76" t="str">
        <f t="shared" si="5"/>
        <v> </v>
      </c>
      <c r="AR22" s="141" t="str">
        <f t="shared" si="5"/>
        <v> </v>
      </c>
      <c r="AS22" s="77"/>
      <c r="AT22" s="85"/>
      <c r="AU22" s="78" t="str">
        <f>IF(ISERROR(AO22*100000000/'Calc-Units'!$E$21)," ",AO22*100000000/'Calc-Units'!$E$21)</f>
        <v> </v>
      </c>
      <c r="AV22" s="78" t="str">
        <f>IF(ISERROR(AP22*100000000/'Calc-Units'!$D$21)," ",AP22*100000000/'Calc-Units'!$D$21)</f>
        <v> </v>
      </c>
      <c r="AW22" s="78" t="str">
        <f>IF(ISERROR(AQ22*100000000/'Calc-Units'!$C$21)," ",AQ22*100000000/'Calc-Units'!$C$21)</f>
        <v> </v>
      </c>
      <c r="AX22" s="232" t="str">
        <f>IF(ISERROR(AR22*100000000/'Calc-Units'!$C$21)," ",AR22*100000000/'Calc-Units'!$C$21)</f>
        <v> </v>
      </c>
      <c r="AZ22" s="83"/>
      <c r="BA22" s="83"/>
    </row>
    <row r="23" spans="1:53" s="86" customFormat="1" ht="12.75">
      <c r="A23" s="88"/>
      <c r="B23" s="87"/>
      <c r="C23" s="108" t="s">
        <v>687</v>
      </c>
      <c r="D23" s="121">
        <f>'RRP 1.3'!U$12</f>
        <v>1.4397993171236436</v>
      </c>
      <c r="E23" s="121">
        <v>0</v>
      </c>
      <c r="F23" s="121">
        <v>0</v>
      </c>
      <c r="G23" s="121">
        <v>0</v>
      </c>
      <c r="H23" s="121">
        <v>0</v>
      </c>
      <c r="I23" s="121">
        <f t="shared" si="0"/>
        <v>1.4397993171236436</v>
      </c>
      <c r="J23" s="113"/>
      <c r="K23" s="82"/>
      <c r="L23" s="121" t="s">
        <v>195</v>
      </c>
      <c r="M23" s="134">
        <f>IF(ISERROR(VLOOKUP($L23,'Calc-Drivers'!$B$17:$F$27,M$42,FALSE))," ",VLOOKUP($L23,'Calc-Drivers'!$B$17:$F$27,M$42,FALSE))</f>
        <v>0.3874734304826183</v>
      </c>
      <c r="N23" s="134">
        <f>IF(ISERROR(VLOOKUP($L23,'Calc-Drivers'!$B$17:$F$27,N$42,FALSE))," ",VLOOKUP($L23,'Calc-Drivers'!$B$17:$F$27,N$42,FALSE))</f>
        <v>0.11030677919037249</v>
      </c>
      <c r="O23" s="134">
        <f>IF(ISERROR(VLOOKUP($L23,'Calc-Drivers'!$B$17:$F$27,O$42,FALSE))," ",VLOOKUP($L23,'Calc-Drivers'!$B$17:$F$27,O$42,FALSE))</f>
        <v>0.03400429288224294</v>
      </c>
      <c r="P23" s="134">
        <f>IF(ISERROR(VLOOKUP($L23,'Calc-Drivers'!$B$17:$F$27,P$42,FALSE))," ",VLOOKUP($L23,'Calc-Drivers'!$B$17:$F$27,P$42,FALSE))</f>
        <v>0.4682154974447662</v>
      </c>
      <c r="Q23" s="148"/>
      <c r="R23" s="75"/>
      <c r="S23" s="76">
        <f t="shared" si="1"/>
        <v>0.5578839806124294</v>
      </c>
      <c r="T23" s="76">
        <f t="shared" si="1"/>
        <v>0.15881962535240685</v>
      </c>
      <c r="U23" s="76">
        <f t="shared" si="1"/>
        <v>0.048959357671125754</v>
      </c>
      <c r="V23" s="141">
        <f t="shared" si="1"/>
        <v>0.6741363534876815</v>
      </c>
      <c r="W23" s="77"/>
      <c r="X23" s="83"/>
      <c r="Y23" s="76">
        <f t="shared" si="2"/>
        <v>0.5578839806124294</v>
      </c>
      <c r="Z23" s="76">
        <f t="shared" si="2"/>
        <v>0.15881962535240685</v>
      </c>
      <c r="AA23" s="76">
        <f t="shared" si="2"/>
        <v>0.048959357671125754</v>
      </c>
      <c r="AB23" s="141">
        <f t="shared" si="2"/>
        <v>0.6741363534876815</v>
      </c>
      <c r="AC23" s="84"/>
      <c r="AD23" s="84"/>
      <c r="AE23" s="78">
        <f>IF(ISERROR(Y23*100000000/'Calc-Units'!$E$21)," ",Y23*100000000/'Calc-Units'!$E$21)</f>
        <v>0.001899831318069585</v>
      </c>
      <c r="AF23" s="78">
        <f>IF(ISERROR(Z23*100000000/'Calc-Units'!$D$21)," ",Z23*100000000/'Calc-Units'!$D$21)</f>
        <v>0.0005536737503461715</v>
      </c>
      <c r="AG23" s="78">
        <f>IF(ISERROR(AA23*100000000/'Calc-Units'!$C$21)," ",AA23*100000000/'Calc-Units'!$C$21)</f>
        <v>0.0002538595751899085</v>
      </c>
      <c r="AH23" s="232">
        <f>IF(ISERROR(AB23*100000000/'Calc-Units'!$C$21)," ",AB23*100000000/'Calc-Units'!$C$21)</f>
        <v>0.0034954700481576355</v>
      </c>
      <c r="AI23" s="85"/>
      <c r="AJ23" s="81">
        <v>0.5257</v>
      </c>
      <c r="AK23" s="73">
        <f t="shared" si="3"/>
        <v>0.7569025010118994</v>
      </c>
      <c r="AL23" s="74">
        <f t="shared" si="4"/>
        <v>0.6828968161117442</v>
      </c>
      <c r="AM23" s="73"/>
      <c r="AN23" s="73"/>
      <c r="AO23" s="76">
        <f t="shared" si="5"/>
        <v>0.2646043720044753</v>
      </c>
      <c r="AP23" s="76">
        <f t="shared" si="5"/>
        <v>0.07532814830464657</v>
      </c>
      <c r="AQ23" s="76">
        <f t="shared" si="5"/>
        <v>0.023221423343414947</v>
      </c>
      <c r="AR23" s="141">
        <f t="shared" si="5"/>
        <v>0.3197428724592074</v>
      </c>
      <c r="AS23" s="77"/>
      <c r="AT23" s="85"/>
      <c r="AU23" s="78">
        <f>IF(ISERROR(AO23*100000000/'Calc-Units'!$E$21)," ",AO23*100000000/'Calc-Units'!$E$21)</f>
        <v>0.0009010899941604044</v>
      </c>
      <c r="AV23" s="78">
        <f>IF(ISERROR(AP23*100000000/'Calc-Units'!$D$21)," ",AP23*100000000/'Calc-Units'!$D$21)</f>
        <v>0.0002626074597891892</v>
      </c>
      <c r="AW23" s="78">
        <f>IF(ISERROR(AQ23*100000000/'Calc-Units'!$C$21)," ",AQ23*100000000/'Calc-Units'!$C$21)</f>
        <v>0.00012040559651257363</v>
      </c>
      <c r="AX23" s="232">
        <f>IF(ISERROR(AR23*100000000/'Calc-Units'!$C$21)," ",AR23*100000000/'Calc-Units'!$C$21)</f>
        <v>0.0016579014438411665</v>
      </c>
      <c r="AZ23" s="83"/>
      <c r="BA23" s="83"/>
    </row>
    <row r="24" spans="1:53" s="86" customFormat="1" ht="12.75">
      <c r="A24" s="88"/>
      <c r="B24" s="87"/>
      <c r="C24" s="108" t="s">
        <v>647</v>
      </c>
      <c r="D24" s="121">
        <f>'RRP 1.3'!V$12</f>
        <v>2.0706365899867683</v>
      </c>
      <c r="E24" s="121">
        <v>0</v>
      </c>
      <c r="F24" s="121">
        <v>0</v>
      </c>
      <c r="G24" s="121">
        <v>0</v>
      </c>
      <c r="H24" s="121">
        <v>0</v>
      </c>
      <c r="I24" s="121">
        <f t="shared" si="0"/>
        <v>2.0706365899867683</v>
      </c>
      <c r="J24" s="113"/>
      <c r="K24" s="82"/>
      <c r="L24" s="121" t="s">
        <v>195</v>
      </c>
      <c r="M24" s="134">
        <f>IF(ISERROR(VLOOKUP($L24,'Calc-Drivers'!$B$17:$F$27,M$42,FALSE))," ",VLOOKUP($L24,'Calc-Drivers'!$B$17:$F$27,M$42,FALSE))</f>
        <v>0.3874734304826183</v>
      </c>
      <c r="N24" s="134">
        <f>IF(ISERROR(VLOOKUP($L24,'Calc-Drivers'!$B$17:$F$27,N$42,FALSE))," ",VLOOKUP($L24,'Calc-Drivers'!$B$17:$F$27,N$42,FALSE))</f>
        <v>0.11030677919037249</v>
      </c>
      <c r="O24" s="134">
        <f>IF(ISERROR(VLOOKUP($L24,'Calc-Drivers'!$B$17:$F$27,O$42,FALSE))," ",VLOOKUP($L24,'Calc-Drivers'!$B$17:$F$27,O$42,FALSE))</f>
        <v>0.03400429288224294</v>
      </c>
      <c r="P24" s="134">
        <f>IF(ISERROR(VLOOKUP($L24,'Calc-Drivers'!$B$17:$F$27,P$42,FALSE))," ",VLOOKUP($L24,'Calc-Drivers'!$B$17:$F$27,P$42,FALSE))</f>
        <v>0.4682154974447662</v>
      </c>
      <c r="Q24" s="148"/>
      <c r="R24" s="75"/>
      <c r="S24" s="76">
        <f t="shared" si="1"/>
        <v>0.8023166628050038</v>
      </c>
      <c r="T24" s="76">
        <f t="shared" si="1"/>
        <v>0.2284052531151763</v>
      </c>
      <c r="U24" s="76">
        <f t="shared" si="1"/>
        <v>0.07041053305859885</v>
      </c>
      <c r="V24" s="141">
        <f t="shared" si="1"/>
        <v>0.9695041410079891</v>
      </c>
      <c r="W24" s="77"/>
      <c r="X24" s="83"/>
      <c r="Y24" s="76">
        <f t="shared" si="2"/>
        <v>0.8023166628050038</v>
      </c>
      <c r="Z24" s="76">
        <f t="shared" si="2"/>
        <v>0.2284052531151763</v>
      </c>
      <c r="AA24" s="76">
        <f t="shared" si="2"/>
        <v>0.07041053305859885</v>
      </c>
      <c r="AB24" s="141">
        <f t="shared" si="2"/>
        <v>0.9695041410079891</v>
      </c>
      <c r="AC24" s="84"/>
      <c r="AD24" s="84"/>
      <c r="AE24" s="78">
        <f>IF(ISERROR(Y24*100000000/'Calc-Units'!$E$21)," ",Y24*100000000/'Calc-Units'!$E$21)</f>
        <v>0.0027322281620861823</v>
      </c>
      <c r="AF24" s="78">
        <f>IF(ISERROR(Z24*100000000/'Calc-Units'!$D$21)," ",Z24*100000000/'Calc-Units'!$D$21)</f>
        <v>0.0007962617517226737</v>
      </c>
      <c r="AG24" s="78">
        <f>IF(ISERROR(AA24*100000000/'Calc-Units'!$C$21)," ",AA24*100000000/'Calc-Units'!$C$21)</f>
        <v>0.000365086244211339</v>
      </c>
      <c r="AH24" s="232">
        <f>IF(ISERROR(AB24*100000000/'Calc-Units'!$C$21)," ",AB24*100000000/'Calc-Units'!$C$21)</f>
        <v>0.005026984035092757</v>
      </c>
      <c r="AI24" s="85"/>
      <c r="AJ24" s="81">
        <v>0.5257</v>
      </c>
      <c r="AK24" s="73">
        <f t="shared" si="3"/>
        <v>1.0885336553560438</v>
      </c>
      <c r="AL24" s="74">
        <f t="shared" si="4"/>
        <v>0.9821029346307243</v>
      </c>
      <c r="AM24" s="73"/>
      <c r="AN24" s="73"/>
      <c r="AO24" s="76">
        <f t="shared" si="5"/>
        <v>0.3805387931684133</v>
      </c>
      <c r="AP24" s="76">
        <f t="shared" si="5"/>
        <v>0.10833261155252813</v>
      </c>
      <c r="AQ24" s="76">
        <f t="shared" si="5"/>
        <v>0.03339571582969344</v>
      </c>
      <c r="AR24" s="141">
        <f t="shared" si="5"/>
        <v>0.4598358140800893</v>
      </c>
      <c r="AS24" s="77"/>
      <c r="AT24" s="85"/>
      <c r="AU24" s="78">
        <f>IF(ISERROR(AO24*100000000/'Calc-Units'!$E$21)," ",AO24*100000000/'Calc-Units'!$E$21)</f>
        <v>0.0012958958172774764</v>
      </c>
      <c r="AV24" s="78">
        <f>IF(ISERROR(AP24*100000000/'Calc-Units'!$D$21)," ",AP24*100000000/'Calc-Units'!$D$21)</f>
        <v>0.00037766694884206414</v>
      </c>
      <c r="AW24" s="78">
        <f>IF(ISERROR(AQ24*100000000/'Calc-Units'!$C$21)," ",AQ24*100000000/'Calc-Units'!$C$21)</f>
        <v>0.00017316040562943814</v>
      </c>
      <c r="AX24" s="232">
        <f>IF(ISERROR(AR24*100000000/'Calc-Units'!$C$21)," ",AR24*100000000/'Calc-Units'!$C$21)</f>
        <v>0.0023842985278444946</v>
      </c>
      <c r="AZ24" s="83"/>
      <c r="BA24" s="83"/>
    </row>
    <row r="25" spans="1:53" s="86" customFormat="1" ht="12.75">
      <c r="A25" s="88"/>
      <c r="B25" s="87"/>
      <c r="C25" s="108" t="s">
        <v>910</v>
      </c>
      <c r="D25" s="121">
        <f>'RRP 1.3'!W$12</f>
        <v>7.544493072155657</v>
      </c>
      <c r="E25" s="121">
        <v>0</v>
      </c>
      <c r="F25" s="121">
        <v>0</v>
      </c>
      <c r="G25" s="121">
        <v>0</v>
      </c>
      <c r="H25" s="121">
        <v>0</v>
      </c>
      <c r="I25" s="121">
        <f t="shared" si="0"/>
        <v>7.544493072155657</v>
      </c>
      <c r="J25" s="113"/>
      <c r="K25" s="82"/>
      <c r="L25" s="121" t="s">
        <v>195</v>
      </c>
      <c r="M25" s="134">
        <f>IF(ISERROR(VLOOKUP($L25,'Calc-Drivers'!$B$17:$F$27,M$42,FALSE))," ",VLOOKUP($L25,'Calc-Drivers'!$B$17:$F$27,M$42,FALSE))</f>
        <v>0.3874734304826183</v>
      </c>
      <c r="N25" s="134">
        <f>IF(ISERROR(VLOOKUP($L25,'Calc-Drivers'!$B$17:$F$27,N$42,FALSE))," ",VLOOKUP($L25,'Calc-Drivers'!$B$17:$F$27,N$42,FALSE))</f>
        <v>0.11030677919037249</v>
      </c>
      <c r="O25" s="134">
        <f>IF(ISERROR(VLOOKUP($L25,'Calc-Drivers'!$B$17:$F$27,O$42,FALSE))," ",VLOOKUP($L25,'Calc-Drivers'!$B$17:$F$27,O$42,FALSE))</f>
        <v>0.03400429288224294</v>
      </c>
      <c r="P25" s="134">
        <f>IF(ISERROR(VLOOKUP($L25,'Calc-Drivers'!$B$17:$F$27,P$42,FALSE))," ",VLOOKUP($L25,'Calc-Drivers'!$B$17:$F$27,P$42,FALSE))</f>
        <v>0.4682154974447662</v>
      </c>
      <c r="Q25" s="148"/>
      <c r="R25" s="75"/>
      <c r="S25" s="76">
        <f t="shared" si="1"/>
        <v>2.9232906119205</v>
      </c>
      <c r="T25" s="76">
        <f t="shared" si="1"/>
        <v>0.832208731413569</v>
      </c>
      <c r="U25" s="76">
        <f t="shared" si="1"/>
        <v>0.25654515207363376</v>
      </c>
      <c r="V25" s="141">
        <f t="shared" si="1"/>
        <v>3.532448576747953</v>
      </c>
      <c r="W25" s="77"/>
      <c r="X25" s="83"/>
      <c r="Y25" s="76">
        <f t="shared" si="2"/>
        <v>2.9232906119205</v>
      </c>
      <c r="Z25" s="76">
        <f t="shared" si="2"/>
        <v>0.832208731413569</v>
      </c>
      <c r="AA25" s="76">
        <f t="shared" si="2"/>
        <v>0.25654515207363376</v>
      </c>
      <c r="AB25" s="141">
        <f t="shared" si="2"/>
        <v>3.532448576747953</v>
      </c>
      <c r="AC25" s="84"/>
      <c r="AD25" s="84"/>
      <c r="AE25" s="78">
        <f>IF(ISERROR(Y25*100000000/'Calc-Units'!$E$21)," ",Y25*100000000/'Calc-Units'!$E$21)</f>
        <v>0.009955043072304402</v>
      </c>
      <c r="AF25" s="78">
        <f>IF(ISERROR(Z25*100000000/'Calc-Units'!$D$21)," ",Z25*100000000/'Calc-Units'!$D$21)</f>
        <v>0.00290122916717734</v>
      </c>
      <c r="AG25" s="78">
        <f>IF(ISERROR(AA25*100000000/'Calc-Units'!$C$21)," ",AA25*100000000/'Calc-Units'!$C$21)</f>
        <v>0.0013302144149830643</v>
      </c>
      <c r="AH25" s="232">
        <f>IF(ISERROR(AB25*100000000/'Calc-Units'!$C$21)," ",AB25*100000000/'Calc-Units'!$C$21)</f>
        <v>0.018316128677527493</v>
      </c>
      <c r="AI25" s="85"/>
      <c r="AJ25" s="81">
        <v>0.5257</v>
      </c>
      <c r="AK25" s="73">
        <f t="shared" si="3"/>
        <v>3.9661400080322284</v>
      </c>
      <c r="AL25" s="74">
        <f t="shared" si="4"/>
        <v>3.5783530641234282</v>
      </c>
      <c r="AM25" s="73"/>
      <c r="AN25" s="73"/>
      <c r="AO25" s="76">
        <f t="shared" si="5"/>
        <v>1.3865167372338933</v>
      </c>
      <c r="AP25" s="76">
        <f t="shared" si="5"/>
        <v>0.3947166013094558</v>
      </c>
      <c r="AQ25" s="76">
        <f t="shared" si="5"/>
        <v>0.12167936562852451</v>
      </c>
      <c r="AR25" s="141">
        <f t="shared" si="5"/>
        <v>1.6754403599515544</v>
      </c>
      <c r="AS25" s="77"/>
      <c r="AT25" s="85"/>
      <c r="AU25" s="78">
        <f>IF(ISERROR(AO25*100000000/'Calc-Units'!$E$21)," ",AO25*100000000/'Calc-Units'!$E$21)</f>
        <v>0.004721676929193977</v>
      </c>
      <c r="AV25" s="78">
        <f>IF(ISERROR(AP25*100000000/'Calc-Units'!$D$21)," ",AP25*100000000/'Calc-Units'!$D$21)</f>
        <v>0.0013760529939922125</v>
      </c>
      <c r="AW25" s="78">
        <f>IF(ISERROR(AQ25*100000000/'Calc-Units'!$C$21)," ",AQ25*100000000/'Calc-Units'!$C$21)</f>
        <v>0.0006309206970264675</v>
      </c>
      <c r="AX25" s="232">
        <f>IF(ISERROR(AR25*100000000/'Calc-Units'!$C$21)," ",AR25*100000000/'Calc-Units'!$C$21)</f>
        <v>0.008687339831751292</v>
      </c>
      <c r="AZ25" s="83"/>
      <c r="BA25" s="83"/>
    </row>
    <row r="26" spans="1:53" s="86" customFormat="1" ht="12.75">
      <c r="A26" s="91"/>
      <c r="B26" s="87"/>
      <c r="C26" s="108" t="s">
        <v>176</v>
      </c>
      <c r="D26" s="121">
        <f>'RRP 1.3'!X$12</f>
        <v>1.6451252035656032</v>
      </c>
      <c r="E26" s="121">
        <v>0</v>
      </c>
      <c r="F26" s="121">
        <v>0</v>
      </c>
      <c r="G26" s="121">
        <v>0</v>
      </c>
      <c r="H26" s="121">
        <v>0</v>
      </c>
      <c r="I26" s="121">
        <f t="shared" si="0"/>
        <v>1.6451252035656032</v>
      </c>
      <c r="J26" s="113"/>
      <c r="K26" s="82"/>
      <c r="L26" s="143" t="s">
        <v>195</v>
      </c>
      <c r="M26" s="134">
        <f>IF(ISERROR(VLOOKUP($L26,'Calc-Drivers'!$B$17:$F$27,M$42,FALSE))," ",VLOOKUP($L26,'Calc-Drivers'!$B$17:$F$27,M$42,FALSE))</f>
        <v>0.3874734304826183</v>
      </c>
      <c r="N26" s="134">
        <f>IF(ISERROR(VLOOKUP($L26,'Calc-Drivers'!$B$17:$F$27,N$42,FALSE))," ",VLOOKUP($L26,'Calc-Drivers'!$B$17:$F$27,N$42,FALSE))</f>
        <v>0.11030677919037249</v>
      </c>
      <c r="O26" s="134">
        <f>IF(ISERROR(VLOOKUP($L26,'Calc-Drivers'!$B$17:$F$27,O$42,FALSE))," ",VLOOKUP($L26,'Calc-Drivers'!$B$17:$F$27,O$42,FALSE))</f>
        <v>0.03400429288224294</v>
      </c>
      <c r="P26" s="134">
        <f>IF(ISERROR(VLOOKUP($L26,'Calc-Drivers'!$B$17:$F$27,P$42,FALSE))," ",VLOOKUP($L26,'Calc-Drivers'!$B$17:$F$27,P$42,FALSE))</f>
        <v>0.4682154974447662</v>
      </c>
      <c r="Q26" s="148"/>
      <c r="R26" s="75"/>
      <c r="S26" s="76">
        <f t="shared" si="1"/>
        <v>0.63744230619898</v>
      </c>
      <c r="T26" s="76">
        <f t="shared" si="1"/>
        <v>0.18146846257022758</v>
      </c>
      <c r="U26" s="76">
        <f t="shared" si="1"/>
        <v>0.055941319250004305</v>
      </c>
      <c r="V26" s="141">
        <f t="shared" si="1"/>
        <v>0.7702731155463912</v>
      </c>
      <c r="W26" s="77"/>
      <c r="X26" s="83"/>
      <c r="Y26" s="145">
        <f t="shared" si="2"/>
        <v>0.63744230619898</v>
      </c>
      <c r="Z26" s="145">
        <f t="shared" si="2"/>
        <v>0.18146846257022758</v>
      </c>
      <c r="AA26" s="145">
        <f t="shared" si="2"/>
        <v>0.055941319250004305</v>
      </c>
      <c r="AB26" s="142">
        <f t="shared" si="2"/>
        <v>0.7702731155463912</v>
      </c>
      <c r="AC26" s="84"/>
      <c r="AD26" s="84"/>
      <c r="AE26" s="233">
        <f>IF(ISERROR(Y26*100000000/'Calc-Units'!$E$21)," ",Y26*100000000/'Calc-Units'!$E$21)</f>
        <v>0.002170761123934561</v>
      </c>
      <c r="AF26" s="233">
        <f>IF(ISERROR(Z26*100000000/'Calc-Units'!$D$21)," ",Z26*100000000/'Calc-Units'!$D$21)</f>
        <v>0.0006326316663817083</v>
      </c>
      <c r="AG26" s="233">
        <f>IF(ISERROR(AA26*100000000/'Calc-Units'!$C$21)," ",AA26*100000000/'Calc-Units'!$C$21)</f>
        <v>0.0002900618026029467</v>
      </c>
      <c r="AH26" s="234">
        <f>IF(ISERROR(AB26*100000000/'Calc-Units'!$C$21)," ",AB26*100000000/'Calc-Units'!$C$21)</f>
        <v>0.003993949577654211</v>
      </c>
      <c r="AI26" s="85"/>
      <c r="AJ26" s="261">
        <v>0.5257</v>
      </c>
      <c r="AK26" s="237">
        <f t="shared" si="3"/>
        <v>0.8648423195144375</v>
      </c>
      <c r="AL26" s="238">
        <f t="shared" si="4"/>
        <v>0.7802828840511657</v>
      </c>
      <c r="AM26" s="73"/>
      <c r="AN26" s="73"/>
      <c r="AO26" s="145">
        <f t="shared" si="5"/>
        <v>0.30233888583017626</v>
      </c>
      <c r="AP26" s="145">
        <f t="shared" si="5"/>
        <v>0.08607049179705896</v>
      </c>
      <c r="AQ26" s="145">
        <f t="shared" si="5"/>
        <v>0.026532967720277044</v>
      </c>
      <c r="AR26" s="142">
        <f t="shared" si="5"/>
        <v>0.3653405387036534</v>
      </c>
      <c r="AS26" s="77"/>
      <c r="AT26" s="85"/>
      <c r="AU26" s="233">
        <f>IF(ISERROR(AO26*100000000/'Calc-Units'!$E$21)," ",AO26*100000000/'Calc-Units'!$E$21)</f>
        <v>0.0010295920010821625</v>
      </c>
      <c r="AV26" s="233">
        <f>IF(ISERROR(AP26*100000000/'Calc-Units'!$D$21)," ",AP26*100000000/'Calc-Units'!$D$21)</f>
        <v>0.0003000571993648443</v>
      </c>
      <c r="AW26" s="233">
        <f>IF(ISERROR(AQ26*100000000/'Calc-Units'!$C$21)," ",AQ26*100000000/'Calc-Units'!$C$21)</f>
        <v>0.00013757631297457764</v>
      </c>
      <c r="AX26" s="234">
        <f>IF(ISERROR(AR26*100000000/'Calc-Units'!$C$21)," ",AR26*100000000/'Calc-Units'!$C$21)</f>
        <v>0.0018943302846813929</v>
      </c>
      <c r="AZ26" s="83"/>
      <c r="BA26" s="83"/>
    </row>
    <row r="27" spans="1:53" s="70" customFormat="1" ht="12.75" customHeight="1">
      <c r="A27" s="90" t="s">
        <v>122</v>
      </c>
      <c r="B27" s="104"/>
      <c r="C27" s="90" t="s">
        <v>177</v>
      </c>
      <c r="D27" s="122">
        <f>'RRP 1.3'!Y$12</f>
        <v>1.32151902</v>
      </c>
      <c r="E27" s="122">
        <v>0</v>
      </c>
      <c r="F27" s="122">
        <v>0</v>
      </c>
      <c r="G27" s="122">
        <v>0</v>
      </c>
      <c r="H27" s="122">
        <v>0</v>
      </c>
      <c r="I27" s="122">
        <f t="shared" si="0"/>
        <v>1.32151902</v>
      </c>
      <c r="J27" s="114"/>
      <c r="K27" s="73"/>
      <c r="L27" s="123" t="s">
        <v>175</v>
      </c>
      <c r="M27" s="134" t="str">
        <f>IF(ISERROR(VLOOKUP($L27,'Calc-Drivers'!$B$17:$F$27,M$42,FALSE))," ",VLOOKUP($L27,'Calc-Drivers'!$B$17:$F$27,M$42,FALSE))</f>
        <v> </v>
      </c>
      <c r="N27" s="134" t="str">
        <f>IF(ISERROR(VLOOKUP($L27,'Calc-Drivers'!$B$17:$F$27,N$42,FALSE))," ",VLOOKUP($L27,'Calc-Drivers'!$B$17:$F$27,N$42,FALSE))</f>
        <v> </v>
      </c>
      <c r="O27" s="134" t="str">
        <f>IF(ISERROR(VLOOKUP($L27,'Calc-Drivers'!$B$17:$F$27,O$42,FALSE))," ",VLOOKUP($L27,'Calc-Drivers'!$B$17:$F$27,O$42,FALSE))</f>
        <v> </v>
      </c>
      <c r="P27" s="134" t="str">
        <f>IF(ISERROR(VLOOKUP($L27,'Calc-Drivers'!$B$17:$F$27,P$42,FALSE))," ",VLOOKUP($L27,'Calc-Drivers'!$B$17:$F$27,P$42,FALSE))</f>
        <v> </v>
      </c>
      <c r="Q27" s="148"/>
      <c r="R27" s="75"/>
      <c r="S27" s="144" t="str">
        <f t="shared" si="1"/>
        <v> </v>
      </c>
      <c r="T27" s="144" t="str">
        <f t="shared" si="1"/>
        <v> </v>
      </c>
      <c r="U27" s="144" t="str">
        <f t="shared" si="1"/>
        <v> </v>
      </c>
      <c r="V27" s="140" t="str">
        <f t="shared" si="1"/>
        <v> </v>
      </c>
      <c r="W27" s="77"/>
      <c r="X27" s="71"/>
      <c r="Y27" s="144" t="str">
        <f t="shared" si="2"/>
        <v> </v>
      </c>
      <c r="Z27" s="144" t="str">
        <f t="shared" si="2"/>
        <v> </v>
      </c>
      <c r="AA27" s="144" t="str">
        <f t="shared" si="2"/>
        <v> </v>
      </c>
      <c r="AB27" s="140" t="str">
        <f t="shared" si="2"/>
        <v> </v>
      </c>
      <c r="AC27" s="77"/>
      <c r="AD27" s="77"/>
      <c r="AE27" s="256" t="str">
        <f>IF(ISERROR(Y27*100000000/'Calc-Units'!$E$21)," ",Y27*100000000/'Calc-Units'!$E$21)</f>
        <v> </v>
      </c>
      <c r="AF27" s="256" t="str">
        <f>IF(ISERROR(Z27*100000000/'Calc-Units'!$D$21)," ",Z27*100000000/'Calc-Units'!$D$21)</f>
        <v> </v>
      </c>
      <c r="AG27" s="256" t="str">
        <f>IF(ISERROR(AA27*100000000/'Calc-Units'!$C$21)," ",AA27*100000000/'Calc-Units'!$C$21)</f>
        <v> </v>
      </c>
      <c r="AH27" s="257" t="str">
        <f>IF(ISERROR(AB27*100000000/'Calc-Units'!$C$21)," ",AB27*100000000/'Calc-Units'!$C$21)</f>
        <v> </v>
      </c>
      <c r="AI27" s="79"/>
      <c r="AJ27" s="89">
        <v>0</v>
      </c>
      <c r="AK27" s="73">
        <f t="shared" si="3"/>
        <v>0</v>
      </c>
      <c r="AL27" s="74">
        <f t="shared" si="4"/>
        <v>1.32151902</v>
      </c>
      <c r="AM27" s="73"/>
      <c r="AN27" s="73"/>
      <c r="AO27" s="144" t="str">
        <f t="shared" si="5"/>
        <v> </v>
      </c>
      <c r="AP27" s="144" t="str">
        <f t="shared" si="5"/>
        <v> </v>
      </c>
      <c r="AQ27" s="144" t="str">
        <f t="shared" si="5"/>
        <v> </v>
      </c>
      <c r="AR27" s="140" t="str">
        <f t="shared" si="5"/>
        <v> </v>
      </c>
      <c r="AS27" s="77"/>
      <c r="AT27" s="79"/>
      <c r="AU27" s="256" t="str">
        <f>IF(ISERROR(AO27*100000000/'Calc-Units'!$E$21)," ",AO27*100000000/'Calc-Units'!$E$21)</f>
        <v> </v>
      </c>
      <c r="AV27" s="256" t="str">
        <f>IF(ISERROR(AP27*100000000/'Calc-Units'!$D$21)," ",AP27*100000000/'Calc-Units'!$D$21)</f>
        <v> </v>
      </c>
      <c r="AW27" s="256" t="str">
        <f>IF(ISERROR(AQ27*100000000/'Calc-Units'!$C$21)," ",AQ27*100000000/'Calc-Units'!$C$21)</f>
        <v> </v>
      </c>
      <c r="AX27" s="257" t="str">
        <f>IF(ISERROR(AR27*100000000/'Calc-Units'!$C$21)," ",AR27*100000000/'Calc-Units'!$C$21)</f>
        <v> </v>
      </c>
      <c r="AZ27" s="83"/>
      <c r="BA27" s="71"/>
    </row>
    <row r="28" spans="1:53" s="70" customFormat="1" ht="12.75">
      <c r="A28" s="88"/>
      <c r="B28" s="105"/>
      <c r="C28" s="88" t="s">
        <v>298</v>
      </c>
      <c r="D28" s="123">
        <f>'RRP 1.3'!Z$12</f>
        <v>9.5</v>
      </c>
      <c r="E28" s="123">
        <v>0</v>
      </c>
      <c r="F28" s="123">
        <v>0</v>
      </c>
      <c r="G28" s="123">
        <v>0</v>
      </c>
      <c r="H28" s="123">
        <v>0</v>
      </c>
      <c r="I28" s="123">
        <f t="shared" si="0"/>
        <v>9.5</v>
      </c>
      <c r="J28" s="114"/>
      <c r="K28" s="73"/>
      <c r="L28" s="122" t="s">
        <v>175</v>
      </c>
      <c r="M28" s="227" t="str">
        <f>IF(ISERROR(VLOOKUP($L28,'Calc-Drivers'!$B$17:$F$27,M$42,FALSE))," ",VLOOKUP($L28,'Calc-Drivers'!$B$17:$F$27,M$42,FALSE))</f>
        <v> </v>
      </c>
      <c r="N28" s="227" t="str">
        <f>IF(ISERROR(VLOOKUP($L28,'Calc-Drivers'!$B$17:$F$27,N$42,FALSE))," ",VLOOKUP($L28,'Calc-Drivers'!$B$17:$F$27,N$42,FALSE))</f>
        <v> </v>
      </c>
      <c r="O28" s="227" t="str">
        <f>IF(ISERROR(VLOOKUP($L28,'Calc-Drivers'!$B$17:$F$27,O$42,FALSE))," ",VLOOKUP($L28,'Calc-Drivers'!$B$17:$F$27,O$42,FALSE))</f>
        <v> </v>
      </c>
      <c r="P28" s="227" t="str">
        <f>IF(ISERROR(VLOOKUP($L28,'Calc-Drivers'!$B$17:$F$27,P$42,FALSE))," ",VLOOKUP($L28,'Calc-Drivers'!$B$17:$F$27,P$42,FALSE))</f>
        <v> </v>
      </c>
      <c r="Q28" s="148"/>
      <c r="R28" s="75"/>
      <c r="S28" s="76" t="str">
        <f t="shared" si="1"/>
        <v> </v>
      </c>
      <c r="T28" s="76" t="str">
        <f t="shared" si="1"/>
        <v> </v>
      </c>
      <c r="U28" s="76" t="str">
        <f t="shared" si="1"/>
        <v> </v>
      </c>
      <c r="V28" s="141" t="str">
        <f t="shared" si="1"/>
        <v> </v>
      </c>
      <c r="W28" s="77"/>
      <c r="X28" s="71"/>
      <c r="Y28" s="76" t="str">
        <f t="shared" si="2"/>
        <v> </v>
      </c>
      <c r="Z28" s="76" t="str">
        <f t="shared" si="2"/>
        <v> </v>
      </c>
      <c r="AA28" s="76" t="str">
        <f t="shared" si="2"/>
        <v> </v>
      </c>
      <c r="AB28" s="141" t="str">
        <f t="shared" si="2"/>
        <v> </v>
      </c>
      <c r="AC28" s="77"/>
      <c r="AD28" s="77"/>
      <c r="AE28" s="78" t="str">
        <f>IF(ISERROR(Y28*100000000/'Calc-Units'!$E$21)," ",Y28*100000000/'Calc-Units'!$E$21)</f>
        <v> </v>
      </c>
      <c r="AF28" s="78" t="str">
        <f>IF(ISERROR(Z28*100000000/'Calc-Units'!$D$21)," ",Z28*100000000/'Calc-Units'!$D$21)</f>
        <v> </v>
      </c>
      <c r="AG28" s="78" t="str">
        <f>IF(ISERROR(AA28*100000000/'Calc-Units'!$C$21)," ",AA28*100000000/'Calc-Units'!$C$21)</f>
        <v> </v>
      </c>
      <c r="AH28" s="232" t="str">
        <f>IF(ISERROR(AB28*100000000/'Calc-Units'!$C$21)," ",AB28*100000000/'Calc-Units'!$C$21)</f>
        <v> </v>
      </c>
      <c r="AI28" s="79"/>
      <c r="AJ28" s="89">
        <v>0.577</v>
      </c>
      <c r="AK28" s="73">
        <f t="shared" si="3"/>
        <v>5.4815</v>
      </c>
      <c r="AL28" s="74">
        <f t="shared" si="4"/>
        <v>4.0185</v>
      </c>
      <c r="AM28" s="73"/>
      <c r="AN28" s="73"/>
      <c r="AO28" s="76" t="str">
        <f t="shared" si="5"/>
        <v> </v>
      </c>
      <c r="AP28" s="76" t="str">
        <f t="shared" si="5"/>
        <v> </v>
      </c>
      <c r="AQ28" s="76" t="str">
        <f t="shared" si="5"/>
        <v> </v>
      </c>
      <c r="AR28" s="141" t="str">
        <f t="shared" si="5"/>
        <v> </v>
      </c>
      <c r="AS28" s="77"/>
      <c r="AT28" s="79"/>
      <c r="AU28" s="78" t="str">
        <f>IF(ISERROR(AO28*100000000/'Calc-Units'!$E$21)," ",AO28*100000000/'Calc-Units'!$E$21)</f>
        <v> </v>
      </c>
      <c r="AV28" s="78" t="str">
        <f>IF(ISERROR(AP28*100000000/'Calc-Units'!$D$21)," ",AP28*100000000/'Calc-Units'!$D$21)</f>
        <v> </v>
      </c>
      <c r="AW28" s="78" t="str">
        <f>IF(ISERROR(AQ28*100000000/'Calc-Units'!$C$21)," ",AQ28*100000000/'Calc-Units'!$C$21)</f>
        <v> </v>
      </c>
      <c r="AX28" s="232" t="str">
        <f>IF(ISERROR(AR28*100000000/'Calc-Units'!$C$21)," ",AR28*100000000/'Calc-Units'!$C$21)</f>
        <v> </v>
      </c>
      <c r="AZ28" s="83"/>
      <c r="BA28" s="71"/>
    </row>
    <row r="29" spans="1:53" s="70" customFormat="1" ht="12.75">
      <c r="A29" s="88"/>
      <c r="B29" s="105"/>
      <c r="C29" s="88" t="s">
        <v>546</v>
      </c>
      <c r="D29" s="123">
        <f>'RRP 1.3'!AA$12</f>
        <v>0.793782</v>
      </c>
      <c r="E29" s="123">
        <v>0</v>
      </c>
      <c r="F29" s="123">
        <v>0</v>
      </c>
      <c r="G29" s="123">
        <v>0</v>
      </c>
      <c r="H29" s="123">
        <v>0</v>
      </c>
      <c r="I29" s="123">
        <f t="shared" si="0"/>
        <v>0.793782</v>
      </c>
      <c r="J29" s="114"/>
      <c r="K29" s="73"/>
      <c r="L29" s="123" t="s">
        <v>175</v>
      </c>
      <c r="M29" s="134" t="str">
        <f>IF(ISERROR(VLOOKUP($L29,'Calc-Drivers'!$B$17:$F$27,M$42,FALSE))," ",VLOOKUP($L29,'Calc-Drivers'!$B$17:$F$27,M$42,FALSE))</f>
        <v> </v>
      </c>
      <c r="N29" s="134" t="str">
        <f>IF(ISERROR(VLOOKUP($L29,'Calc-Drivers'!$B$17:$F$27,N$42,FALSE))," ",VLOOKUP($L29,'Calc-Drivers'!$B$17:$F$27,N$42,FALSE))</f>
        <v> </v>
      </c>
      <c r="O29" s="134" t="str">
        <f>IF(ISERROR(VLOOKUP($L29,'Calc-Drivers'!$B$17:$F$27,O$42,FALSE))," ",VLOOKUP($L29,'Calc-Drivers'!$B$17:$F$27,O$42,FALSE))</f>
        <v> </v>
      </c>
      <c r="P29" s="134" t="str">
        <f>IF(ISERROR(VLOOKUP($L29,'Calc-Drivers'!$B$17:$F$27,P$42,FALSE))," ",VLOOKUP($L29,'Calc-Drivers'!$B$17:$F$27,P$42,FALSE))</f>
        <v> </v>
      </c>
      <c r="Q29" s="148"/>
      <c r="R29" s="75"/>
      <c r="S29" s="76" t="str">
        <f t="shared" si="1"/>
        <v> </v>
      </c>
      <c r="T29" s="76" t="str">
        <f t="shared" si="1"/>
        <v> </v>
      </c>
      <c r="U29" s="76" t="str">
        <f t="shared" si="1"/>
        <v> </v>
      </c>
      <c r="V29" s="141" t="str">
        <f t="shared" si="1"/>
        <v> </v>
      </c>
      <c r="W29" s="77"/>
      <c r="X29" s="71"/>
      <c r="Y29" s="76" t="str">
        <f t="shared" si="2"/>
        <v> </v>
      </c>
      <c r="Z29" s="76" t="str">
        <f t="shared" si="2"/>
        <v> </v>
      </c>
      <c r="AA29" s="76" t="str">
        <f t="shared" si="2"/>
        <v> </v>
      </c>
      <c r="AB29" s="141" t="str">
        <f t="shared" si="2"/>
        <v> </v>
      </c>
      <c r="AC29" s="77"/>
      <c r="AD29" s="77"/>
      <c r="AE29" s="78" t="str">
        <f>IF(ISERROR(Y29*100000000/'Calc-Units'!$E$21)," ",Y29*100000000/'Calc-Units'!$E$21)</f>
        <v> </v>
      </c>
      <c r="AF29" s="78" t="str">
        <f>IF(ISERROR(Z29*100000000/'Calc-Units'!$D$21)," ",Z29*100000000/'Calc-Units'!$D$21)</f>
        <v> </v>
      </c>
      <c r="AG29" s="78" t="str">
        <f>IF(ISERROR(AA29*100000000/'Calc-Units'!$C$21)," ",AA29*100000000/'Calc-Units'!$C$21)</f>
        <v> </v>
      </c>
      <c r="AH29" s="232" t="str">
        <f>IF(ISERROR(AB29*100000000/'Calc-Units'!$C$21)," ",AB29*100000000/'Calc-Units'!$C$21)</f>
        <v> </v>
      </c>
      <c r="AI29" s="79"/>
      <c r="AJ29" s="89">
        <v>0</v>
      </c>
      <c r="AK29" s="73">
        <f t="shared" si="3"/>
        <v>0</v>
      </c>
      <c r="AL29" s="74">
        <f t="shared" si="4"/>
        <v>0.793782</v>
      </c>
      <c r="AM29" s="73"/>
      <c r="AN29" s="73"/>
      <c r="AO29" s="76" t="str">
        <f t="shared" si="5"/>
        <v> </v>
      </c>
      <c r="AP29" s="76" t="str">
        <f t="shared" si="5"/>
        <v> </v>
      </c>
      <c r="AQ29" s="76" t="str">
        <f t="shared" si="5"/>
        <v> </v>
      </c>
      <c r="AR29" s="141" t="str">
        <f t="shared" si="5"/>
        <v> </v>
      </c>
      <c r="AS29" s="77"/>
      <c r="AT29" s="79"/>
      <c r="AU29" s="78" t="str">
        <f>IF(ISERROR(AO29*100000000/'Calc-Units'!$E$21)," ",AO29*100000000/'Calc-Units'!$E$21)</f>
        <v> </v>
      </c>
      <c r="AV29" s="78" t="str">
        <f>IF(ISERROR(AP29*100000000/'Calc-Units'!$D$21)," ",AP29*100000000/'Calc-Units'!$D$21)</f>
        <v> </v>
      </c>
      <c r="AW29" s="78" t="str">
        <f>IF(ISERROR(AQ29*100000000/'Calc-Units'!$C$21)," ",AQ29*100000000/'Calc-Units'!$C$21)</f>
        <v> </v>
      </c>
      <c r="AX29" s="232" t="str">
        <f>IF(ISERROR(AR29*100000000/'Calc-Units'!$C$21)," ",AR29*100000000/'Calc-Units'!$C$21)</f>
        <v> </v>
      </c>
      <c r="AZ29" s="71"/>
      <c r="BA29" s="71"/>
    </row>
    <row r="30" spans="1:53" s="70" customFormat="1" ht="12.75">
      <c r="A30" s="88"/>
      <c r="B30" s="105"/>
      <c r="C30" s="88" t="s">
        <v>547</v>
      </c>
      <c r="D30" s="123">
        <f>'RRP 1.3'!AB$12</f>
        <v>9.751431000299192</v>
      </c>
      <c r="E30" s="123">
        <v>0</v>
      </c>
      <c r="F30" s="123">
        <v>0</v>
      </c>
      <c r="G30" s="123">
        <v>0</v>
      </c>
      <c r="H30" s="123">
        <v>0</v>
      </c>
      <c r="I30" s="123">
        <f t="shared" si="0"/>
        <v>9.751431000299192</v>
      </c>
      <c r="J30" s="114"/>
      <c r="K30" s="73"/>
      <c r="L30" s="123" t="s">
        <v>175</v>
      </c>
      <c r="M30" s="134" t="str">
        <f>IF(ISERROR(VLOOKUP($L30,'Calc-Drivers'!$B$17:$F$27,M$42,FALSE))," ",VLOOKUP($L30,'Calc-Drivers'!$B$17:$F$27,M$42,FALSE))</f>
        <v> </v>
      </c>
      <c r="N30" s="134" t="str">
        <f>IF(ISERROR(VLOOKUP($L30,'Calc-Drivers'!$B$17:$F$27,N$42,FALSE))," ",VLOOKUP($L30,'Calc-Drivers'!$B$17:$F$27,N$42,FALSE))</f>
        <v> </v>
      </c>
      <c r="O30" s="134" t="str">
        <f>IF(ISERROR(VLOOKUP($L30,'Calc-Drivers'!$B$17:$F$27,O$42,FALSE))," ",VLOOKUP($L30,'Calc-Drivers'!$B$17:$F$27,O$42,FALSE))</f>
        <v> </v>
      </c>
      <c r="P30" s="134" t="str">
        <f>IF(ISERROR(VLOOKUP($L30,'Calc-Drivers'!$B$17:$F$27,P$42,FALSE))," ",VLOOKUP($L30,'Calc-Drivers'!$B$17:$F$27,P$42,FALSE))</f>
        <v> </v>
      </c>
      <c r="Q30" s="148"/>
      <c r="R30" s="75"/>
      <c r="S30" s="76" t="str">
        <f t="shared" si="1"/>
        <v> </v>
      </c>
      <c r="T30" s="76" t="str">
        <f t="shared" si="1"/>
        <v> </v>
      </c>
      <c r="U30" s="76" t="str">
        <f t="shared" si="1"/>
        <v> </v>
      </c>
      <c r="V30" s="141" t="str">
        <f t="shared" si="1"/>
        <v> </v>
      </c>
      <c r="W30" s="77"/>
      <c r="X30" s="71"/>
      <c r="Y30" s="76" t="str">
        <f t="shared" si="2"/>
        <v> </v>
      </c>
      <c r="Z30" s="76" t="str">
        <f t="shared" si="2"/>
        <v> </v>
      </c>
      <c r="AA30" s="76" t="str">
        <f t="shared" si="2"/>
        <v> </v>
      </c>
      <c r="AB30" s="141" t="str">
        <f t="shared" si="2"/>
        <v> </v>
      </c>
      <c r="AC30" s="77"/>
      <c r="AD30" s="77"/>
      <c r="AE30" s="78" t="str">
        <f>IF(ISERROR(Y30*100000000/'Calc-Units'!$E$21)," ",Y30*100000000/'Calc-Units'!$E$21)</f>
        <v> </v>
      </c>
      <c r="AF30" s="78" t="str">
        <f>IF(ISERROR(Z30*100000000/'Calc-Units'!$D$21)," ",Z30*100000000/'Calc-Units'!$D$21)</f>
        <v> </v>
      </c>
      <c r="AG30" s="78" t="str">
        <f>IF(ISERROR(AA30*100000000/'Calc-Units'!$C$21)," ",AA30*100000000/'Calc-Units'!$C$21)</f>
        <v> </v>
      </c>
      <c r="AH30" s="232" t="str">
        <f>IF(ISERROR(AB30*100000000/'Calc-Units'!$C$21)," ",AB30*100000000/'Calc-Units'!$C$21)</f>
        <v> </v>
      </c>
      <c r="AI30" s="79"/>
      <c r="AJ30" s="89">
        <v>0</v>
      </c>
      <c r="AK30" s="73">
        <f t="shared" si="3"/>
        <v>0</v>
      </c>
      <c r="AL30" s="74">
        <f t="shared" si="4"/>
        <v>9.751431000299192</v>
      </c>
      <c r="AM30" s="73"/>
      <c r="AN30" s="73"/>
      <c r="AO30" s="76" t="str">
        <f t="shared" si="5"/>
        <v> </v>
      </c>
      <c r="AP30" s="76" t="str">
        <f t="shared" si="5"/>
        <v> </v>
      </c>
      <c r="AQ30" s="76" t="str">
        <f t="shared" si="5"/>
        <v> </v>
      </c>
      <c r="AR30" s="141" t="str">
        <f t="shared" si="5"/>
        <v> </v>
      </c>
      <c r="AS30" s="77"/>
      <c r="AT30" s="79"/>
      <c r="AU30" s="78" t="str">
        <f>IF(ISERROR(AO30*100000000/'Calc-Units'!$E$21)," ",AO30*100000000/'Calc-Units'!$E$21)</f>
        <v> </v>
      </c>
      <c r="AV30" s="78" t="str">
        <f>IF(ISERROR(AP30*100000000/'Calc-Units'!$D$21)," ",AP30*100000000/'Calc-Units'!$D$21)</f>
        <v> </v>
      </c>
      <c r="AW30" s="78" t="str">
        <f>IF(ISERROR(AQ30*100000000/'Calc-Units'!$C$21)," ",AQ30*100000000/'Calc-Units'!$C$21)</f>
        <v> </v>
      </c>
      <c r="AX30" s="232" t="str">
        <f>IF(ISERROR(AR30*100000000/'Calc-Units'!$C$21)," ",AR30*100000000/'Calc-Units'!$C$21)</f>
        <v> </v>
      </c>
      <c r="AZ30" s="71"/>
      <c r="BA30" s="71"/>
    </row>
    <row r="31" spans="1:53" s="70" customFormat="1" ht="12.75">
      <c r="A31" s="88"/>
      <c r="B31" s="105"/>
      <c r="C31" s="88" t="s">
        <v>759</v>
      </c>
      <c r="D31" s="123">
        <f>'RRP 1.3'!AC$12</f>
        <v>-8.326672684688674E-16</v>
      </c>
      <c r="E31" s="123">
        <v>0</v>
      </c>
      <c r="F31" s="123">
        <v>0</v>
      </c>
      <c r="G31" s="123">
        <v>0</v>
      </c>
      <c r="H31" s="123">
        <v>0</v>
      </c>
      <c r="I31" s="123">
        <f t="shared" si="0"/>
        <v>-8.326672684688674E-16</v>
      </c>
      <c r="J31" s="114"/>
      <c r="K31" s="73"/>
      <c r="L31" s="123" t="s">
        <v>175</v>
      </c>
      <c r="M31" s="134" t="str">
        <f>IF(ISERROR(VLOOKUP($L31,'Calc-Drivers'!$B$17:$F$27,M$42,FALSE))," ",VLOOKUP($L31,'Calc-Drivers'!$B$17:$F$27,M$42,FALSE))</f>
        <v> </v>
      </c>
      <c r="N31" s="134" t="str">
        <f>IF(ISERROR(VLOOKUP($L31,'Calc-Drivers'!$B$17:$F$27,N$42,FALSE))," ",VLOOKUP($L31,'Calc-Drivers'!$B$17:$F$27,N$42,FALSE))</f>
        <v> </v>
      </c>
      <c r="O31" s="134" t="str">
        <f>IF(ISERROR(VLOOKUP($L31,'Calc-Drivers'!$B$17:$F$27,O$42,FALSE))," ",VLOOKUP($L31,'Calc-Drivers'!$B$17:$F$27,O$42,FALSE))</f>
        <v> </v>
      </c>
      <c r="P31" s="134" t="str">
        <f>IF(ISERROR(VLOOKUP($L31,'Calc-Drivers'!$B$17:$F$27,P$42,FALSE))," ",VLOOKUP($L31,'Calc-Drivers'!$B$17:$F$27,P$42,FALSE))</f>
        <v> </v>
      </c>
      <c r="Q31" s="148"/>
      <c r="R31" s="75"/>
      <c r="S31" s="76" t="str">
        <f t="shared" si="1"/>
        <v> </v>
      </c>
      <c r="T31" s="76" t="str">
        <f t="shared" si="1"/>
        <v> </v>
      </c>
      <c r="U31" s="76" t="str">
        <f t="shared" si="1"/>
        <v> </v>
      </c>
      <c r="V31" s="141" t="str">
        <f t="shared" si="1"/>
        <v> </v>
      </c>
      <c r="W31" s="77"/>
      <c r="X31" s="71"/>
      <c r="Y31" s="76" t="str">
        <f t="shared" si="2"/>
        <v> </v>
      </c>
      <c r="Z31" s="76" t="str">
        <f t="shared" si="2"/>
        <v> </v>
      </c>
      <c r="AA31" s="76" t="str">
        <f t="shared" si="2"/>
        <v> </v>
      </c>
      <c r="AB31" s="141" t="str">
        <f t="shared" si="2"/>
        <v> </v>
      </c>
      <c r="AC31" s="77"/>
      <c r="AD31" s="77"/>
      <c r="AE31" s="78" t="str">
        <f>IF(ISERROR(Y31*100000000/'Calc-Units'!$E$21)," ",Y31*100000000/'Calc-Units'!$E$21)</f>
        <v> </v>
      </c>
      <c r="AF31" s="78" t="str">
        <f>IF(ISERROR(Z31*100000000/'Calc-Units'!$D$21)," ",Z31*100000000/'Calc-Units'!$D$21)</f>
        <v> </v>
      </c>
      <c r="AG31" s="78" t="str">
        <f>IF(ISERROR(AA31*100000000/'Calc-Units'!$C$21)," ",AA31*100000000/'Calc-Units'!$C$21)</f>
        <v> </v>
      </c>
      <c r="AH31" s="232" t="str">
        <f>IF(ISERROR(AB31*100000000/'Calc-Units'!$C$21)," ",AB31*100000000/'Calc-Units'!$C$21)</f>
        <v> </v>
      </c>
      <c r="AI31" s="79"/>
      <c r="AJ31" s="89">
        <v>0</v>
      </c>
      <c r="AK31" s="73">
        <f t="shared" si="3"/>
        <v>0</v>
      </c>
      <c r="AL31" s="74">
        <f t="shared" si="4"/>
        <v>-8.326672684688674E-16</v>
      </c>
      <c r="AM31" s="73"/>
      <c r="AN31" s="73"/>
      <c r="AO31" s="76" t="str">
        <f t="shared" si="5"/>
        <v> </v>
      </c>
      <c r="AP31" s="76" t="str">
        <f t="shared" si="5"/>
        <v> </v>
      </c>
      <c r="AQ31" s="76" t="str">
        <f t="shared" si="5"/>
        <v> </v>
      </c>
      <c r="AR31" s="141" t="str">
        <f t="shared" si="5"/>
        <v> </v>
      </c>
      <c r="AS31" s="77"/>
      <c r="AT31" s="79"/>
      <c r="AU31" s="78" t="str">
        <f>IF(ISERROR(AO31*100000000/'Calc-Units'!$E$21)," ",AO31*100000000/'Calc-Units'!$E$21)</f>
        <v> </v>
      </c>
      <c r="AV31" s="78" t="str">
        <f>IF(ISERROR(AP31*100000000/'Calc-Units'!$D$21)," ",AP31*100000000/'Calc-Units'!$D$21)</f>
        <v> </v>
      </c>
      <c r="AW31" s="78" t="str">
        <f>IF(ISERROR(AQ31*100000000/'Calc-Units'!$C$21)," ",AQ31*100000000/'Calc-Units'!$C$21)</f>
        <v> </v>
      </c>
      <c r="AX31" s="232" t="str">
        <f>IF(ISERROR(AR31*100000000/'Calc-Units'!$C$21)," ",AR31*100000000/'Calc-Units'!$C$21)</f>
        <v> </v>
      </c>
      <c r="AZ31" s="71"/>
      <c r="BA31" s="71"/>
    </row>
    <row r="32" spans="1:53" s="70" customFormat="1" ht="12.75">
      <c r="A32" s="88"/>
      <c r="B32" s="105"/>
      <c r="C32" s="88" t="s">
        <v>673</v>
      </c>
      <c r="D32" s="123">
        <f>'RRP 1.3'!AD$12</f>
        <v>1.0145090392</v>
      </c>
      <c r="E32" s="123">
        <v>0</v>
      </c>
      <c r="F32" s="123">
        <v>0</v>
      </c>
      <c r="G32" s="123">
        <v>0</v>
      </c>
      <c r="H32" s="123">
        <v>0</v>
      </c>
      <c r="I32" s="123">
        <f t="shared" si="0"/>
        <v>1.0145090392</v>
      </c>
      <c r="J32" s="114"/>
      <c r="K32" s="73"/>
      <c r="L32" s="123" t="s">
        <v>175</v>
      </c>
      <c r="M32" s="134" t="str">
        <f>IF(ISERROR(VLOOKUP($L32,'Calc-Drivers'!$B$17:$F$27,M$42,FALSE))," ",VLOOKUP($L32,'Calc-Drivers'!$B$17:$F$27,M$42,FALSE))</f>
        <v> </v>
      </c>
      <c r="N32" s="134" t="str">
        <f>IF(ISERROR(VLOOKUP($L32,'Calc-Drivers'!$B$17:$F$27,N$42,FALSE))," ",VLOOKUP($L32,'Calc-Drivers'!$B$17:$F$27,N$42,FALSE))</f>
        <v> </v>
      </c>
      <c r="O32" s="134" t="str">
        <f>IF(ISERROR(VLOOKUP($L32,'Calc-Drivers'!$B$17:$F$27,O$42,FALSE))," ",VLOOKUP($L32,'Calc-Drivers'!$B$17:$F$27,O$42,FALSE))</f>
        <v> </v>
      </c>
      <c r="P32" s="134" t="str">
        <f>IF(ISERROR(VLOOKUP($L32,'Calc-Drivers'!$B$17:$F$27,P$42,FALSE))," ",VLOOKUP($L32,'Calc-Drivers'!$B$17:$F$27,P$42,FALSE))</f>
        <v> </v>
      </c>
      <c r="Q32" s="148"/>
      <c r="R32" s="75"/>
      <c r="S32" s="76" t="str">
        <f t="shared" si="1"/>
        <v> </v>
      </c>
      <c r="T32" s="76" t="str">
        <f t="shared" si="1"/>
        <v> </v>
      </c>
      <c r="U32" s="76" t="str">
        <f t="shared" si="1"/>
        <v> </v>
      </c>
      <c r="V32" s="141" t="str">
        <f t="shared" si="1"/>
        <v> </v>
      </c>
      <c r="W32" s="77"/>
      <c r="X32" s="71"/>
      <c r="Y32" s="76" t="str">
        <f t="shared" si="2"/>
        <v> </v>
      </c>
      <c r="Z32" s="76" t="str">
        <f t="shared" si="2"/>
        <v> </v>
      </c>
      <c r="AA32" s="76" t="str">
        <f t="shared" si="2"/>
        <v> </v>
      </c>
      <c r="AB32" s="141" t="str">
        <f t="shared" si="2"/>
        <v> </v>
      </c>
      <c r="AC32" s="77"/>
      <c r="AD32" s="77"/>
      <c r="AE32" s="78" t="str">
        <f>IF(ISERROR(Y32*100000000/'Calc-Units'!$E$21)," ",Y32*100000000/'Calc-Units'!$E$21)</f>
        <v> </v>
      </c>
      <c r="AF32" s="78" t="str">
        <f>IF(ISERROR(Z32*100000000/'Calc-Units'!$D$21)," ",Z32*100000000/'Calc-Units'!$D$21)</f>
        <v> </v>
      </c>
      <c r="AG32" s="78" t="str">
        <f>IF(ISERROR(AA32*100000000/'Calc-Units'!$C$21)," ",AA32*100000000/'Calc-Units'!$C$21)</f>
        <v> </v>
      </c>
      <c r="AH32" s="232" t="str">
        <f>IF(ISERROR(AB32*100000000/'Calc-Units'!$C$21)," ",AB32*100000000/'Calc-Units'!$C$21)</f>
        <v> </v>
      </c>
      <c r="AI32" s="79"/>
      <c r="AJ32" s="89">
        <v>0</v>
      </c>
      <c r="AK32" s="73">
        <f t="shared" si="3"/>
        <v>0</v>
      </c>
      <c r="AL32" s="74">
        <f t="shared" si="4"/>
        <v>1.0145090392</v>
      </c>
      <c r="AM32" s="73"/>
      <c r="AN32" s="73"/>
      <c r="AO32" s="76" t="str">
        <f t="shared" si="5"/>
        <v> </v>
      </c>
      <c r="AP32" s="76" t="str">
        <f t="shared" si="5"/>
        <v> </v>
      </c>
      <c r="AQ32" s="76" t="str">
        <f t="shared" si="5"/>
        <v> </v>
      </c>
      <c r="AR32" s="141" t="str">
        <f t="shared" si="5"/>
        <v> </v>
      </c>
      <c r="AS32" s="77"/>
      <c r="AT32" s="79"/>
      <c r="AU32" s="78" t="str">
        <f>IF(ISERROR(AO32*100000000/'Calc-Units'!$E$21)," ",AO32*100000000/'Calc-Units'!$E$21)</f>
        <v> </v>
      </c>
      <c r="AV32" s="78" t="str">
        <f>IF(ISERROR(AP32*100000000/'Calc-Units'!$D$21)," ",AP32*100000000/'Calc-Units'!$D$21)</f>
        <v> </v>
      </c>
      <c r="AW32" s="78" t="str">
        <f>IF(ISERROR(AQ32*100000000/'Calc-Units'!$C$21)," ",AQ32*100000000/'Calc-Units'!$C$21)</f>
        <v> </v>
      </c>
      <c r="AX32" s="232" t="str">
        <f>IF(ISERROR(AR32*100000000/'Calc-Units'!$C$21)," ",AR32*100000000/'Calc-Units'!$C$21)</f>
        <v> </v>
      </c>
      <c r="AZ32" s="71"/>
      <c r="BA32" s="71"/>
    </row>
    <row r="33" spans="1:53" s="70" customFormat="1" ht="12.75">
      <c r="A33" s="88"/>
      <c r="B33" s="105"/>
      <c r="C33" s="88" t="s">
        <v>760</v>
      </c>
      <c r="D33" s="123">
        <f>'RRP 1.3'!AE$12</f>
        <v>4.303287332805833</v>
      </c>
      <c r="E33" s="123">
        <v>0</v>
      </c>
      <c r="F33" s="123">
        <v>0</v>
      </c>
      <c r="G33" s="123">
        <v>0</v>
      </c>
      <c r="H33" s="123">
        <v>0</v>
      </c>
      <c r="I33" s="123">
        <f t="shared" si="0"/>
        <v>4.303287332805833</v>
      </c>
      <c r="J33" s="114"/>
      <c r="K33" s="73"/>
      <c r="L33" s="123" t="s">
        <v>175</v>
      </c>
      <c r="M33" s="134" t="str">
        <f>IF(ISERROR(VLOOKUP($L33,'Calc-Drivers'!$B$17:$F$27,M$42,FALSE))," ",VLOOKUP($L33,'Calc-Drivers'!$B$17:$F$27,M$42,FALSE))</f>
        <v> </v>
      </c>
      <c r="N33" s="134" t="str">
        <f>IF(ISERROR(VLOOKUP($L33,'Calc-Drivers'!$B$17:$F$27,N$42,FALSE))," ",VLOOKUP($L33,'Calc-Drivers'!$B$17:$F$27,N$42,FALSE))</f>
        <v> </v>
      </c>
      <c r="O33" s="134" t="str">
        <f>IF(ISERROR(VLOOKUP($L33,'Calc-Drivers'!$B$17:$F$27,O$42,FALSE))," ",VLOOKUP($L33,'Calc-Drivers'!$B$17:$F$27,O$42,FALSE))</f>
        <v> </v>
      </c>
      <c r="P33" s="134" t="str">
        <f>IF(ISERROR(VLOOKUP($L33,'Calc-Drivers'!$B$17:$F$27,P$42,FALSE))," ",VLOOKUP($L33,'Calc-Drivers'!$B$17:$F$27,P$42,FALSE))</f>
        <v> </v>
      </c>
      <c r="Q33" s="148"/>
      <c r="R33" s="75"/>
      <c r="S33" s="76" t="str">
        <f t="shared" si="1"/>
        <v> </v>
      </c>
      <c r="T33" s="76" t="str">
        <f t="shared" si="1"/>
        <v> </v>
      </c>
      <c r="U33" s="76" t="str">
        <f t="shared" si="1"/>
        <v> </v>
      </c>
      <c r="V33" s="141" t="str">
        <f t="shared" si="1"/>
        <v> </v>
      </c>
      <c r="W33" s="77"/>
      <c r="X33" s="71"/>
      <c r="Y33" s="76" t="str">
        <f t="shared" si="2"/>
        <v> </v>
      </c>
      <c r="Z33" s="76" t="str">
        <f t="shared" si="2"/>
        <v> </v>
      </c>
      <c r="AA33" s="76" t="str">
        <f t="shared" si="2"/>
        <v> </v>
      </c>
      <c r="AB33" s="141" t="str">
        <f t="shared" si="2"/>
        <v> </v>
      </c>
      <c r="AC33" s="77"/>
      <c r="AD33" s="77"/>
      <c r="AE33" s="78" t="str">
        <f>IF(ISERROR(Y33*100000000/'Calc-Units'!$E$21)," ",Y33*100000000/'Calc-Units'!$E$21)</f>
        <v> </v>
      </c>
      <c r="AF33" s="78" t="str">
        <f>IF(ISERROR(Z33*100000000/'Calc-Units'!$D$21)," ",Z33*100000000/'Calc-Units'!$D$21)</f>
        <v> </v>
      </c>
      <c r="AG33" s="78" t="str">
        <f>IF(ISERROR(AA33*100000000/'Calc-Units'!$C$21)," ",AA33*100000000/'Calc-Units'!$C$21)</f>
        <v> </v>
      </c>
      <c r="AH33" s="232" t="str">
        <f>IF(ISERROR(AB33*100000000/'Calc-Units'!$C$21)," ",AB33*100000000/'Calc-Units'!$C$21)</f>
        <v> </v>
      </c>
      <c r="AI33" s="79"/>
      <c r="AJ33" s="89">
        <v>0</v>
      </c>
      <c r="AK33" s="73">
        <f t="shared" si="3"/>
        <v>0</v>
      </c>
      <c r="AL33" s="74">
        <f t="shared" si="4"/>
        <v>4.303287332805833</v>
      </c>
      <c r="AM33" s="73"/>
      <c r="AN33" s="73"/>
      <c r="AO33" s="76" t="str">
        <f t="shared" si="5"/>
        <v> </v>
      </c>
      <c r="AP33" s="76" t="str">
        <f t="shared" si="5"/>
        <v> </v>
      </c>
      <c r="AQ33" s="76" t="str">
        <f t="shared" si="5"/>
        <v> </v>
      </c>
      <c r="AR33" s="141" t="str">
        <f t="shared" si="5"/>
        <v> </v>
      </c>
      <c r="AS33" s="77"/>
      <c r="AT33" s="79"/>
      <c r="AU33" s="78" t="str">
        <f>IF(ISERROR(AO33*100000000/'Calc-Units'!$E$21)," ",AO33*100000000/'Calc-Units'!$E$21)</f>
        <v> </v>
      </c>
      <c r="AV33" s="78" t="str">
        <f>IF(ISERROR(AP33*100000000/'Calc-Units'!$D$21)," ",AP33*100000000/'Calc-Units'!$D$21)</f>
        <v> </v>
      </c>
      <c r="AW33" s="78" t="str">
        <f>IF(ISERROR(AQ33*100000000/'Calc-Units'!$C$21)," ",AQ33*100000000/'Calc-Units'!$C$21)</f>
        <v> </v>
      </c>
      <c r="AX33" s="232" t="str">
        <f>IF(ISERROR(AR33*100000000/'Calc-Units'!$C$21)," ",AR33*100000000/'Calc-Units'!$C$21)</f>
        <v> </v>
      </c>
      <c r="AZ33" s="71"/>
      <c r="BA33" s="71"/>
    </row>
    <row r="34" spans="1:53" s="70" customFormat="1" ht="12.75">
      <c r="A34" s="88"/>
      <c r="B34" s="105"/>
      <c r="C34" s="88" t="s">
        <v>761</v>
      </c>
      <c r="D34" s="123">
        <f>'RRP 1.3'!AF$12</f>
        <v>41.9127568597</v>
      </c>
      <c r="E34" s="123">
        <v>0</v>
      </c>
      <c r="F34" s="123">
        <v>0</v>
      </c>
      <c r="G34" s="123">
        <v>0</v>
      </c>
      <c r="H34" s="123">
        <v>0</v>
      </c>
      <c r="I34" s="123">
        <f t="shared" si="0"/>
        <v>41.9127568597</v>
      </c>
      <c r="J34" s="114"/>
      <c r="K34" s="73"/>
      <c r="L34" s="123" t="s">
        <v>175</v>
      </c>
      <c r="M34" s="134" t="str">
        <f>IF(ISERROR(VLOOKUP($L34,'Calc-Drivers'!$B$17:$F$27,M$42,FALSE))," ",VLOOKUP($L34,'Calc-Drivers'!$B$17:$F$27,M$42,FALSE))</f>
        <v> </v>
      </c>
      <c r="N34" s="134" t="str">
        <f>IF(ISERROR(VLOOKUP($L34,'Calc-Drivers'!$B$17:$F$27,N$42,FALSE))," ",VLOOKUP($L34,'Calc-Drivers'!$B$17:$F$27,N$42,FALSE))</f>
        <v> </v>
      </c>
      <c r="O34" s="134" t="str">
        <f>IF(ISERROR(VLOOKUP($L34,'Calc-Drivers'!$B$17:$F$27,O$42,FALSE))," ",VLOOKUP($L34,'Calc-Drivers'!$B$17:$F$27,O$42,FALSE))</f>
        <v> </v>
      </c>
      <c r="P34" s="134" t="str">
        <f>IF(ISERROR(VLOOKUP($L34,'Calc-Drivers'!$B$17:$F$27,P$42,FALSE))," ",VLOOKUP($L34,'Calc-Drivers'!$B$17:$F$27,P$42,FALSE))</f>
        <v> </v>
      </c>
      <c r="Q34" s="148"/>
      <c r="R34" s="75"/>
      <c r="S34" s="76" t="str">
        <f t="shared" si="1"/>
        <v> </v>
      </c>
      <c r="T34" s="76" t="str">
        <f t="shared" si="1"/>
        <v> </v>
      </c>
      <c r="U34" s="76" t="str">
        <f t="shared" si="1"/>
        <v> </v>
      </c>
      <c r="V34" s="141" t="str">
        <f t="shared" si="1"/>
        <v> </v>
      </c>
      <c r="W34" s="77"/>
      <c r="X34" s="71"/>
      <c r="Y34" s="76" t="str">
        <f t="shared" si="2"/>
        <v> </v>
      </c>
      <c r="Z34" s="76" t="str">
        <f t="shared" si="2"/>
        <v> </v>
      </c>
      <c r="AA34" s="76" t="str">
        <f t="shared" si="2"/>
        <v> </v>
      </c>
      <c r="AB34" s="141" t="str">
        <f t="shared" si="2"/>
        <v> </v>
      </c>
      <c r="AC34" s="77"/>
      <c r="AD34" s="77"/>
      <c r="AE34" s="78" t="str">
        <f>IF(ISERROR(Y34*100000000/'Calc-Units'!$E$21)," ",Y34*100000000/'Calc-Units'!$E$21)</f>
        <v> </v>
      </c>
      <c r="AF34" s="78" t="str">
        <f>IF(ISERROR(Z34*100000000/'Calc-Units'!$D$21)," ",Z34*100000000/'Calc-Units'!$D$21)</f>
        <v> </v>
      </c>
      <c r="AG34" s="78" t="str">
        <f>IF(ISERROR(AA34*100000000/'Calc-Units'!$C$21)," ",AA34*100000000/'Calc-Units'!$C$21)</f>
        <v> </v>
      </c>
      <c r="AH34" s="232" t="str">
        <f>IF(ISERROR(AB34*100000000/'Calc-Units'!$C$21)," ",AB34*100000000/'Calc-Units'!$C$21)</f>
        <v> </v>
      </c>
      <c r="AI34" s="79"/>
      <c r="AJ34" s="89">
        <v>0</v>
      </c>
      <c r="AK34" s="73">
        <f t="shared" si="3"/>
        <v>0</v>
      </c>
      <c r="AL34" s="74">
        <f t="shared" si="4"/>
        <v>41.9127568597</v>
      </c>
      <c r="AM34" s="73"/>
      <c r="AN34" s="73"/>
      <c r="AO34" s="76" t="str">
        <f t="shared" si="5"/>
        <v> </v>
      </c>
      <c r="AP34" s="76" t="str">
        <f t="shared" si="5"/>
        <v> </v>
      </c>
      <c r="AQ34" s="76" t="str">
        <f t="shared" si="5"/>
        <v> </v>
      </c>
      <c r="AR34" s="141" t="str">
        <f t="shared" si="5"/>
        <v> </v>
      </c>
      <c r="AS34" s="77"/>
      <c r="AT34" s="79"/>
      <c r="AU34" s="78" t="str">
        <f>IF(ISERROR(AO34*100000000/'Calc-Units'!$E$21)," ",AO34*100000000/'Calc-Units'!$E$21)</f>
        <v> </v>
      </c>
      <c r="AV34" s="78" t="str">
        <f>IF(ISERROR(AP34*100000000/'Calc-Units'!$D$21)," ",AP34*100000000/'Calc-Units'!$D$21)</f>
        <v> </v>
      </c>
      <c r="AW34" s="78" t="str">
        <f>IF(ISERROR(AQ34*100000000/'Calc-Units'!$C$21)," ",AQ34*100000000/'Calc-Units'!$C$21)</f>
        <v> </v>
      </c>
      <c r="AX34" s="232" t="str">
        <f>IF(ISERROR(AR34*100000000/'Calc-Units'!$C$21)," ",AR34*100000000/'Calc-Units'!$C$21)</f>
        <v> </v>
      </c>
      <c r="AZ34" s="71"/>
      <c r="BA34" s="71"/>
    </row>
    <row r="35" spans="1:53" s="70" customFormat="1" ht="12.75">
      <c r="A35" s="88"/>
      <c r="B35" s="105"/>
      <c r="C35" s="88" t="s">
        <v>762</v>
      </c>
      <c r="D35" s="123">
        <f>'RRP 1.3'!AG$12</f>
        <v>27.091992</v>
      </c>
      <c r="E35" s="123">
        <v>0</v>
      </c>
      <c r="F35" s="123">
        <v>0</v>
      </c>
      <c r="G35" s="123">
        <v>0</v>
      </c>
      <c r="H35" s="123">
        <v>0</v>
      </c>
      <c r="I35" s="123">
        <f t="shared" si="0"/>
        <v>27.091992</v>
      </c>
      <c r="J35" s="114"/>
      <c r="K35" s="73"/>
      <c r="L35" s="123" t="s">
        <v>175</v>
      </c>
      <c r="M35" s="134" t="str">
        <f>IF(ISERROR(VLOOKUP($L35,'Calc-Drivers'!$B$17:$F$27,M$42,FALSE))," ",VLOOKUP($L35,'Calc-Drivers'!$B$17:$F$27,M$42,FALSE))</f>
        <v> </v>
      </c>
      <c r="N35" s="134" t="str">
        <f>IF(ISERROR(VLOOKUP($L35,'Calc-Drivers'!$B$17:$F$27,N$42,FALSE))," ",VLOOKUP($L35,'Calc-Drivers'!$B$17:$F$27,N$42,FALSE))</f>
        <v> </v>
      </c>
      <c r="O35" s="134" t="str">
        <f>IF(ISERROR(VLOOKUP($L35,'Calc-Drivers'!$B$17:$F$27,O$42,FALSE))," ",VLOOKUP($L35,'Calc-Drivers'!$B$17:$F$27,O$42,FALSE))</f>
        <v> </v>
      </c>
      <c r="P35" s="134" t="str">
        <f>IF(ISERROR(VLOOKUP($L35,'Calc-Drivers'!$B$17:$F$27,P$42,FALSE))," ",VLOOKUP($L35,'Calc-Drivers'!$B$17:$F$27,P$42,FALSE))</f>
        <v> </v>
      </c>
      <c r="Q35" s="148"/>
      <c r="R35" s="75"/>
      <c r="S35" s="76" t="str">
        <f t="shared" si="1"/>
        <v> </v>
      </c>
      <c r="T35" s="76" t="str">
        <f t="shared" si="1"/>
        <v> </v>
      </c>
      <c r="U35" s="76" t="str">
        <f t="shared" si="1"/>
        <v> </v>
      </c>
      <c r="V35" s="141" t="str">
        <f t="shared" si="1"/>
        <v> </v>
      </c>
      <c r="W35" s="77"/>
      <c r="X35" s="71"/>
      <c r="Y35" s="76" t="str">
        <f t="shared" si="2"/>
        <v> </v>
      </c>
      <c r="Z35" s="76" t="str">
        <f t="shared" si="2"/>
        <v> </v>
      </c>
      <c r="AA35" s="76" t="str">
        <f t="shared" si="2"/>
        <v> </v>
      </c>
      <c r="AB35" s="141" t="str">
        <f t="shared" si="2"/>
        <v> </v>
      </c>
      <c r="AC35" s="77"/>
      <c r="AD35" s="77"/>
      <c r="AE35" s="78" t="str">
        <f>IF(ISERROR(Y35*100000000/'Calc-Units'!$E$21)," ",Y35*100000000/'Calc-Units'!$E$21)</f>
        <v> </v>
      </c>
      <c r="AF35" s="78" t="str">
        <f>IF(ISERROR(Z35*100000000/'Calc-Units'!$D$21)," ",Z35*100000000/'Calc-Units'!$D$21)</f>
        <v> </v>
      </c>
      <c r="AG35" s="78" t="str">
        <f>IF(ISERROR(AA35*100000000/'Calc-Units'!$C$21)," ",AA35*100000000/'Calc-Units'!$C$21)</f>
        <v> </v>
      </c>
      <c r="AH35" s="232" t="str">
        <f>IF(ISERROR(AB35*100000000/'Calc-Units'!$C$21)," ",AB35*100000000/'Calc-Units'!$C$21)</f>
        <v> </v>
      </c>
      <c r="AI35" s="79"/>
      <c r="AJ35" s="89">
        <v>0</v>
      </c>
      <c r="AK35" s="73">
        <f t="shared" si="3"/>
        <v>0</v>
      </c>
      <c r="AL35" s="74">
        <f t="shared" si="4"/>
        <v>27.091992</v>
      </c>
      <c r="AM35" s="73"/>
      <c r="AN35" s="73"/>
      <c r="AO35" s="76" t="str">
        <f t="shared" si="5"/>
        <v> </v>
      </c>
      <c r="AP35" s="76" t="str">
        <f t="shared" si="5"/>
        <v> </v>
      </c>
      <c r="AQ35" s="76" t="str">
        <f t="shared" si="5"/>
        <v> </v>
      </c>
      <c r="AR35" s="141" t="str">
        <f t="shared" si="5"/>
        <v> </v>
      </c>
      <c r="AS35" s="77"/>
      <c r="AT35" s="79"/>
      <c r="AU35" s="78" t="str">
        <f>IF(ISERROR(AO35*100000000/'Calc-Units'!$E$21)," ",AO35*100000000/'Calc-Units'!$E$21)</f>
        <v> </v>
      </c>
      <c r="AV35" s="78" t="str">
        <f>IF(ISERROR(AP35*100000000/'Calc-Units'!$D$21)," ",AP35*100000000/'Calc-Units'!$D$21)</f>
        <v> </v>
      </c>
      <c r="AW35" s="78" t="str">
        <f>IF(ISERROR(AQ35*100000000/'Calc-Units'!$C$21)," ",AQ35*100000000/'Calc-Units'!$C$21)</f>
        <v> </v>
      </c>
      <c r="AX35" s="232" t="str">
        <f>IF(ISERROR(AR35*100000000/'Calc-Units'!$C$21)," ",AR35*100000000/'Calc-Units'!$C$21)</f>
        <v> </v>
      </c>
      <c r="AZ35" s="71"/>
      <c r="BA35" s="71"/>
    </row>
    <row r="36" spans="1:53" s="70" customFormat="1" ht="12.75">
      <c r="A36" s="88"/>
      <c r="B36" s="105"/>
      <c r="C36" s="88" t="s">
        <v>363</v>
      </c>
      <c r="D36" s="123">
        <f>'RRP 1.3'!AH$12</f>
        <v>4.4</v>
      </c>
      <c r="E36" s="123">
        <v>0</v>
      </c>
      <c r="F36" s="123">
        <v>0</v>
      </c>
      <c r="G36" s="123">
        <v>0</v>
      </c>
      <c r="H36" s="123">
        <v>0</v>
      </c>
      <c r="I36" s="123">
        <f t="shared" si="0"/>
        <v>4.4</v>
      </c>
      <c r="J36" s="114"/>
      <c r="K36" s="73"/>
      <c r="L36" s="1370" t="s">
        <v>175</v>
      </c>
      <c r="M36" s="134" t="str">
        <f>IF(ISERROR(VLOOKUP($L36,'Calc-Drivers'!$B$17:$F$27,M$42,FALSE))," ",VLOOKUP($L36,'Calc-Drivers'!$B$17:$F$27,M$42,FALSE))</f>
        <v> </v>
      </c>
      <c r="N36" s="134" t="str">
        <f>IF(ISERROR(VLOOKUP($L36,'Calc-Drivers'!$B$17:$F$27,N$42,FALSE))," ",VLOOKUP($L36,'Calc-Drivers'!$B$17:$F$27,N$42,FALSE))</f>
        <v> </v>
      </c>
      <c r="O36" s="134" t="str">
        <f>IF(ISERROR(VLOOKUP($L36,'Calc-Drivers'!$B$17:$F$27,O$42,FALSE))," ",VLOOKUP($L36,'Calc-Drivers'!$B$17:$F$27,O$42,FALSE))</f>
        <v> </v>
      </c>
      <c r="P36" s="134" t="str">
        <f>IF(ISERROR(VLOOKUP($L36,'Calc-Drivers'!$B$17:$F$27,P$42,FALSE))," ",VLOOKUP($L36,'Calc-Drivers'!$B$17:$F$27,P$42,FALSE))</f>
        <v> </v>
      </c>
      <c r="Q36" s="148"/>
      <c r="R36" s="75"/>
      <c r="S36" s="76" t="str">
        <f t="shared" si="1"/>
        <v> </v>
      </c>
      <c r="T36" s="76" t="str">
        <f t="shared" si="1"/>
        <v> </v>
      </c>
      <c r="U36" s="76" t="str">
        <f t="shared" si="1"/>
        <v> </v>
      </c>
      <c r="V36" s="141" t="str">
        <f t="shared" si="1"/>
        <v> </v>
      </c>
      <c r="W36" s="77"/>
      <c r="X36" s="71"/>
      <c r="Y36" s="76" t="str">
        <f t="shared" si="2"/>
        <v> </v>
      </c>
      <c r="Z36" s="76" t="str">
        <f t="shared" si="2"/>
        <v> </v>
      </c>
      <c r="AA36" s="76" t="str">
        <f t="shared" si="2"/>
        <v> </v>
      </c>
      <c r="AB36" s="141" t="str">
        <f t="shared" si="2"/>
        <v> </v>
      </c>
      <c r="AC36" s="77"/>
      <c r="AD36" s="77"/>
      <c r="AE36" s="78" t="str">
        <f>IF(ISERROR(Y36*100000000/'Calc-Units'!$E$21)," ",Y36*100000000/'Calc-Units'!$E$21)</f>
        <v> </v>
      </c>
      <c r="AF36" s="78" t="str">
        <f>IF(ISERROR(Z36*100000000/'Calc-Units'!$D$21)," ",Z36*100000000/'Calc-Units'!$D$21)</f>
        <v> </v>
      </c>
      <c r="AG36" s="78" t="str">
        <f>IF(ISERROR(AA36*100000000/'Calc-Units'!$C$21)," ",AA36*100000000/'Calc-Units'!$C$21)</f>
        <v> </v>
      </c>
      <c r="AH36" s="232" t="str">
        <f>IF(ISERROR(AB36*100000000/'Calc-Units'!$C$21)," ",AB36*100000000/'Calc-Units'!$C$21)</f>
        <v> </v>
      </c>
      <c r="AI36" s="79"/>
      <c r="AJ36" s="89">
        <v>0</v>
      </c>
      <c r="AK36" s="73">
        <f t="shared" si="3"/>
        <v>0</v>
      </c>
      <c r="AL36" s="74">
        <f t="shared" si="4"/>
        <v>4.4</v>
      </c>
      <c r="AM36" s="73"/>
      <c r="AN36" s="73"/>
      <c r="AO36" s="76" t="str">
        <f t="shared" si="5"/>
        <v> </v>
      </c>
      <c r="AP36" s="76" t="str">
        <f t="shared" si="5"/>
        <v> </v>
      </c>
      <c r="AQ36" s="76" t="str">
        <f t="shared" si="5"/>
        <v> </v>
      </c>
      <c r="AR36" s="141" t="str">
        <f t="shared" si="5"/>
        <v> </v>
      </c>
      <c r="AS36" s="77"/>
      <c r="AT36" s="79"/>
      <c r="AU36" s="78" t="str">
        <f>IF(ISERROR(AO36*100000000/'Calc-Units'!$E$21)," ",AO36*100000000/'Calc-Units'!$E$21)</f>
        <v> </v>
      </c>
      <c r="AV36" s="78" t="str">
        <f>IF(ISERROR(AP36*100000000/'Calc-Units'!$D$21)," ",AP36*100000000/'Calc-Units'!$D$21)</f>
        <v> </v>
      </c>
      <c r="AW36" s="78" t="str">
        <f>IF(ISERROR(AQ36*100000000/'Calc-Units'!$C$21)," ",AQ36*100000000/'Calc-Units'!$C$21)</f>
        <v> </v>
      </c>
      <c r="AX36" s="232" t="str">
        <f>IF(ISERROR(AR36*100000000/'Calc-Units'!$C$21)," ",AR36*100000000/'Calc-Units'!$C$21)</f>
        <v> </v>
      </c>
      <c r="AZ36" s="71"/>
      <c r="BA36" s="71"/>
    </row>
    <row r="37" spans="1:53" s="70" customFormat="1" ht="12.75">
      <c r="A37" s="88"/>
      <c r="B37" s="105"/>
      <c r="C37" s="88" t="s">
        <v>633</v>
      </c>
      <c r="D37" s="123">
        <f>'RRP 1.3'!AI$12</f>
        <v>-9.5</v>
      </c>
      <c r="E37" s="123">
        <v>0</v>
      </c>
      <c r="F37" s="123">
        <v>0</v>
      </c>
      <c r="G37" s="123">
        <v>0</v>
      </c>
      <c r="H37" s="123">
        <v>0</v>
      </c>
      <c r="I37" s="123">
        <f t="shared" si="0"/>
        <v>-9.5</v>
      </c>
      <c r="J37" s="114"/>
      <c r="K37" s="73"/>
      <c r="L37" s="123" t="s">
        <v>175</v>
      </c>
      <c r="M37" s="134" t="str">
        <f>IF(ISERROR(VLOOKUP($L37,'Calc-Drivers'!$B$17:$F$27,M$42,FALSE))," ",VLOOKUP($L37,'Calc-Drivers'!$B$17:$F$27,M$42,FALSE))</f>
        <v> </v>
      </c>
      <c r="N37" s="134" t="str">
        <f>IF(ISERROR(VLOOKUP($L37,'Calc-Drivers'!$B$17:$F$27,N$42,FALSE))," ",VLOOKUP($L37,'Calc-Drivers'!$B$17:$F$27,N$42,FALSE))</f>
        <v> </v>
      </c>
      <c r="O37" s="134" t="str">
        <f>IF(ISERROR(VLOOKUP($L37,'Calc-Drivers'!$B$17:$F$27,O$42,FALSE))," ",VLOOKUP($L37,'Calc-Drivers'!$B$17:$F$27,O$42,FALSE))</f>
        <v> </v>
      </c>
      <c r="P37" s="134" t="str">
        <f>IF(ISERROR(VLOOKUP($L37,'Calc-Drivers'!$B$17:$F$27,P$42,FALSE))," ",VLOOKUP($L37,'Calc-Drivers'!$B$17:$F$27,P$42,FALSE))</f>
        <v> </v>
      </c>
      <c r="Q37" s="148"/>
      <c r="R37" s="75"/>
      <c r="S37" s="76" t="str">
        <f t="shared" si="1"/>
        <v> </v>
      </c>
      <c r="T37" s="76" t="str">
        <f t="shared" si="1"/>
        <v> </v>
      </c>
      <c r="U37" s="76" t="str">
        <f t="shared" si="1"/>
        <v> </v>
      </c>
      <c r="V37" s="141" t="str">
        <f t="shared" si="1"/>
        <v> </v>
      </c>
      <c r="W37" s="77"/>
      <c r="X37" s="71"/>
      <c r="Y37" s="76" t="str">
        <f t="shared" si="2"/>
        <v> </v>
      </c>
      <c r="Z37" s="76" t="str">
        <f t="shared" si="2"/>
        <v> </v>
      </c>
      <c r="AA37" s="76" t="str">
        <f t="shared" si="2"/>
        <v> </v>
      </c>
      <c r="AB37" s="141" t="str">
        <f t="shared" si="2"/>
        <v> </v>
      </c>
      <c r="AC37" s="77"/>
      <c r="AD37" s="77"/>
      <c r="AE37" s="78" t="str">
        <f>IF(ISERROR(Y37*100000000/'Calc-Units'!$E$21)," ",Y37*100000000/'Calc-Units'!$E$21)</f>
        <v> </v>
      </c>
      <c r="AF37" s="78" t="str">
        <f>IF(ISERROR(Z37*100000000/'Calc-Units'!$D$21)," ",Z37*100000000/'Calc-Units'!$D$21)</f>
        <v> </v>
      </c>
      <c r="AG37" s="78" t="str">
        <f>IF(ISERROR(AA37*100000000/'Calc-Units'!$C$21)," ",AA37*100000000/'Calc-Units'!$C$21)</f>
        <v> </v>
      </c>
      <c r="AH37" s="232" t="str">
        <f>IF(ISERROR(AB37*100000000/'Calc-Units'!$C$21)," ",AB37*100000000/'Calc-Units'!$C$21)</f>
        <v> </v>
      </c>
      <c r="AI37" s="79"/>
      <c r="AJ37" s="89">
        <v>0</v>
      </c>
      <c r="AK37" s="73">
        <f t="shared" si="3"/>
        <v>0</v>
      </c>
      <c r="AL37" s="74">
        <f t="shared" si="4"/>
        <v>-9.5</v>
      </c>
      <c r="AM37" s="73"/>
      <c r="AN37" s="73"/>
      <c r="AO37" s="76" t="str">
        <f t="shared" si="5"/>
        <v> </v>
      </c>
      <c r="AP37" s="76" t="str">
        <f t="shared" si="5"/>
        <v> </v>
      </c>
      <c r="AQ37" s="76" t="str">
        <f t="shared" si="5"/>
        <v> </v>
      </c>
      <c r="AR37" s="141" t="str">
        <f t="shared" si="5"/>
        <v> </v>
      </c>
      <c r="AS37" s="77"/>
      <c r="AT37" s="79"/>
      <c r="AU37" s="78" t="str">
        <f>IF(ISERROR(AO37*100000000/'Calc-Units'!$E$21)," ",AO37*100000000/'Calc-Units'!$E$21)</f>
        <v> </v>
      </c>
      <c r="AV37" s="78" t="str">
        <f>IF(ISERROR(AP37*100000000/'Calc-Units'!$D$21)," ",AP37*100000000/'Calc-Units'!$D$21)</f>
        <v> </v>
      </c>
      <c r="AW37" s="78" t="str">
        <f>IF(ISERROR(AQ37*100000000/'Calc-Units'!$C$21)," ",AQ37*100000000/'Calc-Units'!$C$21)</f>
        <v> </v>
      </c>
      <c r="AX37" s="232" t="str">
        <f>IF(ISERROR(AR37*100000000/'Calc-Units'!$C$21)," ",AR37*100000000/'Calc-Units'!$C$21)</f>
        <v> </v>
      </c>
      <c r="AZ37" s="71"/>
      <c r="BA37" s="71"/>
    </row>
    <row r="38" spans="1:53" s="70" customFormat="1" ht="12.75">
      <c r="A38" s="88"/>
      <c r="B38" s="105"/>
      <c r="C38" s="91" t="s">
        <v>634</v>
      </c>
      <c r="D38" s="124">
        <f>'RRP 1.3'!AJ$12</f>
        <v>2.354255382917927</v>
      </c>
      <c r="E38" s="124">
        <v>0</v>
      </c>
      <c r="F38" s="124">
        <v>0</v>
      </c>
      <c r="G38" s="124">
        <v>0</v>
      </c>
      <c r="H38" s="124">
        <v>0</v>
      </c>
      <c r="I38" s="124">
        <f t="shared" si="0"/>
        <v>2.354255382917927</v>
      </c>
      <c r="J38" s="114"/>
      <c r="K38" s="73"/>
      <c r="L38" s="124" t="s">
        <v>175</v>
      </c>
      <c r="M38" s="228" t="str">
        <f>IF(ISERROR(VLOOKUP($L38,'Calc-Drivers'!$B$17:$F$27,M$42,FALSE))," ",VLOOKUP($L38,'Calc-Drivers'!$B$17:$F$27,M$42,FALSE))</f>
        <v> </v>
      </c>
      <c r="N38" s="228" t="str">
        <f>IF(ISERROR(VLOOKUP($L38,'Calc-Drivers'!$B$17:$F$27,N$42,FALSE))," ",VLOOKUP($L38,'Calc-Drivers'!$B$17:$F$27,N$42,FALSE))</f>
        <v> </v>
      </c>
      <c r="O38" s="228" t="str">
        <f>IF(ISERROR(VLOOKUP($L38,'Calc-Drivers'!$B$17:$F$27,O$42,FALSE))," ",VLOOKUP($L38,'Calc-Drivers'!$B$17:$F$27,O$42,FALSE))</f>
        <v> </v>
      </c>
      <c r="P38" s="228" t="str">
        <f>IF(ISERROR(VLOOKUP($L38,'Calc-Drivers'!$B$17:$F$27,P$42,FALSE))," ",VLOOKUP($L38,'Calc-Drivers'!$B$17:$F$27,P$42,FALSE))</f>
        <v> </v>
      </c>
      <c r="Q38" s="148"/>
      <c r="R38" s="75"/>
      <c r="S38" s="145" t="str">
        <f t="shared" si="1"/>
        <v> </v>
      </c>
      <c r="T38" s="145" t="str">
        <f t="shared" si="1"/>
        <v> </v>
      </c>
      <c r="U38" s="145" t="str">
        <f t="shared" si="1"/>
        <v> </v>
      </c>
      <c r="V38" s="142" t="str">
        <f t="shared" si="1"/>
        <v> </v>
      </c>
      <c r="W38" s="77"/>
      <c r="X38" s="71"/>
      <c r="Y38" s="145" t="str">
        <f t="shared" si="2"/>
        <v> </v>
      </c>
      <c r="Z38" s="145" t="str">
        <f t="shared" si="2"/>
        <v> </v>
      </c>
      <c r="AA38" s="145" t="str">
        <f t="shared" si="2"/>
        <v> </v>
      </c>
      <c r="AB38" s="142" t="str">
        <f t="shared" si="2"/>
        <v> </v>
      </c>
      <c r="AC38" s="77"/>
      <c r="AD38" s="77"/>
      <c r="AE38" s="233" t="str">
        <f>IF(ISERROR(Y38*100000000/'Calc-Units'!$E$21)," ",Y38*100000000/'Calc-Units'!$E$21)</f>
        <v> </v>
      </c>
      <c r="AF38" s="233" t="str">
        <f>IF(ISERROR(Z38*100000000/'Calc-Units'!$D$21)," ",Z38*100000000/'Calc-Units'!$D$21)</f>
        <v> </v>
      </c>
      <c r="AG38" s="233" t="str">
        <f>IF(ISERROR(AA38*100000000/'Calc-Units'!$C$21)," ",AA38*100000000/'Calc-Units'!$C$21)</f>
        <v> </v>
      </c>
      <c r="AH38" s="234" t="str">
        <f>IF(ISERROR(AB38*100000000/'Calc-Units'!$C$21)," ",AB38*100000000/'Calc-Units'!$C$21)</f>
        <v> </v>
      </c>
      <c r="AI38" s="79"/>
      <c r="AJ38" s="89">
        <v>0</v>
      </c>
      <c r="AK38" s="73">
        <f t="shared" si="3"/>
        <v>0</v>
      </c>
      <c r="AL38" s="74">
        <f t="shared" si="4"/>
        <v>2.354255382917927</v>
      </c>
      <c r="AM38" s="73"/>
      <c r="AN38" s="73"/>
      <c r="AO38" s="145" t="str">
        <f t="shared" si="5"/>
        <v> </v>
      </c>
      <c r="AP38" s="145" t="str">
        <f t="shared" si="5"/>
        <v> </v>
      </c>
      <c r="AQ38" s="145" t="str">
        <f t="shared" si="5"/>
        <v> </v>
      </c>
      <c r="AR38" s="142" t="str">
        <f t="shared" si="5"/>
        <v> </v>
      </c>
      <c r="AS38" s="77"/>
      <c r="AT38" s="79"/>
      <c r="AU38" s="233" t="str">
        <f>IF(ISERROR(AO38*100000000/'Calc-Units'!$E$21)," ",AO38*100000000/'Calc-Units'!$E$21)</f>
        <v> </v>
      </c>
      <c r="AV38" s="233" t="str">
        <f>IF(ISERROR(AP38*100000000/'Calc-Units'!$D$21)," ",AP38*100000000/'Calc-Units'!$D$21)</f>
        <v> </v>
      </c>
      <c r="AW38" s="233" t="str">
        <f>IF(ISERROR(AQ38*100000000/'Calc-Units'!$C$21)," ",AQ38*100000000/'Calc-Units'!$C$21)</f>
        <v> </v>
      </c>
      <c r="AX38" s="234" t="str">
        <f>IF(ISERROR(AR38*100000000/'Calc-Units'!$C$21)," ",AR38*100000000/'Calc-Units'!$C$21)</f>
        <v> </v>
      </c>
      <c r="AZ38" s="71"/>
      <c r="BA38" s="71"/>
    </row>
    <row r="39" spans="1:53" s="70" customFormat="1" ht="25.5">
      <c r="A39" s="109"/>
      <c r="B39" s="254"/>
      <c r="C39" s="109" t="s">
        <v>380</v>
      </c>
      <c r="D39" s="125">
        <f>SUM(D6:D38)</f>
        <v>313</v>
      </c>
      <c r="E39" s="125">
        <f>SUM(E6:E38)</f>
        <v>54.31357417327173</v>
      </c>
      <c r="F39" s="125">
        <f>SUM(F6:F38)</f>
        <v>64.44896599337265</v>
      </c>
      <c r="G39" s="125">
        <f>SUM(G6:G38)</f>
        <v>14.977420039431596</v>
      </c>
      <c r="H39" s="125">
        <f>SUM(H6:H38)</f>
        <v>12.885099865468245</v>
      </c>
      <c r="I39" s="125">
        <f t="shared" si="0"/>
        <v>166.37493992845577</v>
      </c>
      <c r="J39" s="114"/>
      <c r="K39" s="77"/>
      <c r="L39" s="158"/>
      <c r="M39" s="158"/>
      <c r="N39" s="158"/>
      <c r="O39" s="158"/>
      <c r="P39" s="158"/>
      <c r="Q39" s="147"/>
      <c r="R39" s="1317" t="s">
        <v>881</v>
      </c>
      <c r="S39" s="126">
        <f>SUM(S6:S38)</f>
        <v>22.70893788909275</v>
      </c>
      <c r="T39" s="126">
        <f>SUM(T6:T38)</f>
        <v>6.464829844616679</v>
      </c>
      <c r="U39" s="126">
        <f>SUM(U6:U38)</f>
        <v>1.9929143891583903</v>
      </c>
      <c r="V39" s="126">
        <f>SUM(V6:V38)</f>
        <v>27.44104708531965</v>
      </c>
      <c r="W39" s="147"/>
      <c r="X39" s="1318" t="s">
        <v>406</v>
      </c>
      <c r="Y39" s="1433">
        <f>SUM(Y40:AB40)</f>
        <v>205.2327892797317</v>
      </c>
      <c r="Z39" s="1433"/>
      <c r="AA39" s="1433"/>
      <c r="AB39" s="1433"/>
      <c r="AC39" s="77"/>
      <c r="AD39" s="1318" t="s">
        <v>406</v>
      </c>
      <c r="AE39" s="1429">
        <f>SUM(AE40:AH40)</f>
        <v>0.8066009854726489</v>
      </c>
      <c r="AF39" s="1429"/>
      <c r="AG39" s="1429"/>
      <c r="AH39" s="1429"/>
      <c r="AI39" s="79"/>
      <c r="AJ39" s="126" t="s">
        <v>881</v>
      </c>
      <c r="AK39" s="126">
        <f>SUM(AK6:AK38)</f>
        <v>160.17386441835984</v>
      </c>
      <c r="AL39" s="159">
        <f>SUM(AL6:AL38)</f>
        <v>152.8261355816402</v>
      </c>
      <c r="AM39" s="160"/>
      <c r="AN39" s="1319" t="s">
        <v>406</v>
      </c>
      <c r="AO39" s="1429">
        <f>SUM(AO40:AR40)</f>
        <v>58.33323243083791</v>
      </c>
      <c r="AP39" s="1429"/>
      <c r="AQ39" s="1429"/>
      <c r="AR39" s="1429"/>
      <c r="AS39" s="1320"/>
      <c r="AT39" s="1318" t="s">
        <v>406</v>
      </c>
      <c r="AU39" s="1429">
        <f>SUM(AU40:AX40)</f>
        <v>0.2565546250572741</v>
      </c>
      <c r="AV39" s="1429"/>
      <c r="AW39" s="1429"/>
      <c r="AX39" s="1429"/>
      <c r="AZ39" s="71"/>
      <c r="BA39" s="71"/>
    </row>
    <row r="40" spans="1:53" s="70" customFormat="1" ht="12.75">
      <c r="A40" s="103"/>
      <c r="B40" s="255"/>
      <c r="C40" s="146"/>
      <c r="D40" s="147"/>
      <c r="E40" s="147"/>
      <c r="F40" s="147"/>
      <c r="G40" s="147"/>
      <c r="H40" s="147"/>
      <c r="I40" s="147"/>
      <c r="J40" s="114"/>
      <c r="K40" s="77"/>
      <c r="L40" s="73"/>
      <c r="M40" s="73"/>
      <c r="N40" s="73"/>
      <c r="O40" s="73"/>
      <c r="P40" s="73"/>
      <c r="Q40" s="73"/>
      <c r="R40" s="149"/>
      <c r="S40" s="150"/>
      <c r="T40" s="150"/>
      <c r="U40" s="150"/>
      <c r="V40" s="150"/>
      <c r="W40" s="77"/>
      <c r="X40" s="1318" t="s">
        <v>407</v>
      </c>
      <c r="Y40" s="1321">
        <f>SUM(Y6:Y38)</f>
        <v>77.02251206236448</v>
      </c>
      <c r="Z40" s="1321">
        <f>SUM(Z6:Z38)</f>
        <v>70.91379583798934</v>
      </c>
      <c r="AA40" s="1321">
        <f>SUM(AA6:AA38)</f>
        <v>16.970334428589993</v>
      </c>
      <c r="AB40" s="1321">
        <f>SUM(AB6:AB38)</f>
        <v>40.326146950787894</v>
      </c>
      <c r="AC40" s="77"/>
      <c r="AD40" s="1318" t="s">
        <v>407</v>
      </c>
      <c r="AE40" s="1322">
        <f>SUM(AE6:AE38)</f>
        <v>0.26229428644256053</v>
      </c>
      <c r="AF40" s="1322">
        <f>SUM(AF6:AF38)</f>
        <v>0.24721823392909337</v>
      </c>
      <c r="AG40" s="1322">
        <f>SUM(AG6:AG38)</f>
        <v>0.08799302306642115</v>
      </c>
      <c r="AH40" s="1322">
        <f>SUM(AH6:AH38)</f>
        <v>0.20909544203457375</v>
      </c>
      <c r="AI40" s="79"/>
      <c r="AJ40" s="158"/>
      <c r="AK40" s="158"/>
      <c r="AL40" s="158"/>
      <c r="AM40" s="147"/>
      <c r="AN40" s="1318" t="s">
        <v>407</v>
      </c>
      <c r="AO40" s="1322">
        <f>SUM(AO6:AO38)</f>
        <v>15.283031293602555</v>
      </c>
      <c r="AP40" s="1322">
        <f>SUM(AP6:AP38)</f>
        <v>11.013134277096137</v>
      </c>
      <c r="AQ40" s="1322">
        <f>SUM(AQ6:AQ38)</f>
        <v>4.58473283761597</v>
      </c>
      <c r="AR40" s="1323">
        <f>SUM(AR6:AR38)</f>
        <v>27.45233402252325</v>
      </c>
      <c r="AS40" s="1324"/>
      <c r="AT40" s="1318" t="s">
        <v>407</v>
      </c>
      <c r="AU40" s="1322">
        <f>SUM(AU6:AU38)</f>
        <v>0.05204519666391863</v>
      </c>
      <c r="AV40" s="1322">
        <f>SUM(AV6:AV38)</f>
        <v>0.03839376490616675</v>
      </c>
      <c r="AW40" s="1322">
        <f>SUM(AW6:AW38)</f>
        <v>0.023772336604873854</v>
      </c>
      <c r="AX40" s="1322">
        <f>SUM(AX6:AX38)</f>
        <v>0.1423433268823149</v>
      </c>
      <c r="AZ40" s="71"/>
      <c r="BA40" s="71"/>
    </row>
    <row r="41" spans="1:53" s="70" customFormat="1" ht="12.75">
      <c r="A41" s="103"/>
      <c r="B41" s="146"/>
      <c r="C41" s="146"/>
      <c r="D41" s="147"/>
      <c r="E41" s="147"/>
      <c r="F41" s="147"/>
      <c r="G41" s="147"/>
      <c r="H41" s="147"/>
      <c r="I41" s="147"/>
      <c r="J41" s="114"/>
      <c r="K41" s="77"/>
      <c r="L41" s="73"/>
      <c r="M41" s="151"/>
      <c r="N41" s="73"/>
      <c r="O41" s="73"/>
      <c r="P41" s="73"/>
      <c r="Q41" s="73"/>
      <c r="R41" s="75"/>
      <c r="S41" s="77"/>
      <c r="T41" s="77"/>
      <c r="U41" s="77"/>
      <c r="V41" s="77"/>
      <c r="W41" s="77"/>
      <c r="X41" s="1318" t="s">
        <v>408</v>
      </c>
      <c r="Y41" s="1325">
        <f>Y40/$Y$39</f>
        <v>0.37529340381074794</v>
      </c>
      <c r="Z41" s="1325">
        <f>Z40/$Y$39</f>
        <v>0.3455285877410848</v>
      </c>
      <c r="AA41" s="1325">
        <f>AA40/$Y$39</f>
        <v>0.08268822193640547</v>
      </c>
      <c r="AB41" s="1325">
        <f>AB40/$Y$39</f>
        <v>0.19648978651176188</v>
      </c>
      <c r="AC41" s="77"/>
      <c r="AD41" s="1318" t="s">
        <v>408</v>
      </c>
      <c r="AE41" s="1325">
        <f>AE40/$AE$39</f>
        <v>0.3251846838357907</v>
      </c>
      <c r="AF41" s="1325">
        <f>AF40/$AE$39</f>
        <v>0.3064938406741834</v>
      </c>
      <c r="AG41" s="1325">
        <f>AG40/$AE$39</f>
        <v>0.10909114252427964</v>
      </c>
      <c r="AH41" s="1325">
        <f>AH40/$AE$39</f>
        <v>0.25923033296574616</v>
      </c>
      <c r="AI41" s="79"/>
      <c r="AJ41" s="147"/>
      <c r="AK41" s="147"/>
      <c r="AL41" s="147"/>
      <c r="AM41" s="147"/>
      <c r="AN41" s="1318" t="s">
        <v>408</v>
      </c>
      <c r="AO41" s="1326">
        <f>AO40/$AO$39</f>
        <v>0.2619952753642222</v>
      </c>
      <c r="AP41" s="1326">
        <f>AP40/$AO$39</f>
        <v>0.1887969141801584</v>
      </c>
      <c r="AQ41" s="1326">
        <f>AQ40/$AO$39</f>
        <v>0.0785955560246349</v>
      </c>
      <c r="AR41" s="1327">
        <f>AR40/$AO$39</f>
        <v>0.47061225443098453</v>
      </c>
      <c r="AS41" s="1328"/>
      <c r="AT41" s="1318" t="s">
        <v>408</v>
      </c>
      <c r="AU41" s="1325">
        <f>AU40/$AU$39</f>
        <v>0.20286204800361674</v>
      </c>
      <c r="AV41" s="1325">
        <f>AV40/$AU$39</f>
        <v>0.14965142373713045</v>
      </c>
      <c r="AW41" s="1325">
        <f>AW40/$AU$39</f>
        <v>0.09265994171637654</v>
      </c>
      <c r="AX41" s="1325">
        <f>AX40/$AU$39</f>
        <v>0.5548265865428764</v>
      </c>
      <c r="AZ41" s="71"/>
      <c r="BA41" s="71"/>
    </row>
    <row r="42" spans="1:50" s="1330" customFormat="1" ht="12.75">
      <c r="A42" s="1434"/>
      <c r="B42" s="1434"/>
      <c r="C42" s="92"/>
      <c r="D42" s="1329"/>
      <c r="I42" s="1331"/>
      <c r="J42" s="115"/>
      <c r="K42" s="94"/>
      <c r="L42" s="130"/>
      <c r="M42" s="130">
        <v>5</v>
      </c>
      <c r="N42" s="130">
        <v>4</v>
      </c>
      <c r="O42" s="130">
        <v>3</v>
      </c>
      <c r="P42" s="130">
        <v>2</v>
      </c>
      <c r="Q42" s="130"/>
      <c r="R42" s="1332"/>
      <c r="S42" s="1331"/>
      <c r="T42" s="1331"/>
      <c r="U42" s="1331"/>
      <c r="V42" s="1331"/>
      <c r="W42" s="1331"/>
      <c r="X42" s="1333"/>
      <c r="Y42" s="1334"/>
      <c r="Z42" s="1335"/>
      <c r="AA42" s="1335"/>
      <c r="AB42" s="1335"/>
      <c r="AC42" s="1331"/>
      <c r="AD42" s="1331"/>
      <c r="AE42" s="1336"/>
      <c r="AF42" s="1336"/>
      <c r="AG42" s="1336"/>
      <c r="AH42" s="1336"/>
      <c r="AI42" s="1336"/>
      <c r="AJ42" s="93"/>
      <c r="AK42" s="94"/>
      <c r="AL42" s="94"/>
      <c r="AM42" s="94"/>
      <c r="AN42" s="94"/>
      <c r="AO42" s="1331" t="s">
        <v>110</v>
      </c>
      <c r="AP42" s="1331"/>
      <c r="AQ42" s="1331"/>
      <c r="AR42" s="1331"/>
      <c r="AS42" s="1331"/>
      <c r="AT42" s="1336"/>
      <c r="AU42" s="1336"/>
      <c r="AV42" s="1336"/>
      <c r="AW42" s="1336"/>
      <c r="AX42" s="1336"/>
    </row>
    <row r="43" spans="1:50" s="1330" customFormat="1" ht="12.75">
      <c r="A43" s="1434"/>
      <c r="B43" s="1434"/>
      <c r="C43" s="92"/>
      <c r="D43" s="1337"/>
      <c r="I43" s="1331"/>
      <c r="J43" s="115"/>
      <c r="K43" s="94"/>
      <c r="M43" s="1332"/>
      <c r="N43" s="1332"/>
      <c r="O43" s="1332"/>
      <c r="P43" s="1332"/>
      <c r="Q43" s="1332"/>
      <c r="R43" s="1332"/>
      <c r="S43" s="1331"/>
      <c r="T43" s="1331"/>
      <c r="U43" s="1331"/>
      <c r="V43" s="1331"/>
      <c r="W43" s="1331"/>
      <c r="X43" s="1338"/>
      <c r="Y43" s="1339"/>
      <c r="Z43" s="1340"/>
      <c r="AA43" s="1340"/>
      <c r="AB43" s="1340"/>
      <c r="AC43" s="1331"/>
      <c r="AD43" s="1331"/>
      <c r="AE43" s="1336"/>
      <c r="AF43" s="1336"/>
      <c r="AG43" s="1336"/>
      <c r="AH43" s="1336"/>
      <c r="AI43" s="1336"/>
      <c r="AJ43" s="93"/>
      <c r="AK43" s="94"/>
      <c r="AL43" s="94"/>
      <c r="AM43" s="94"/>
      <c r="AN43" s="94"/>
      <c r="AO43" s="1331"/>
      <c r="AP43" s="1331"/>
      <c r="AQ43" s="1331"/>
      <c r="AR43" s="1331"/>
      <c r="AS43" s="1331"/>
      <c r="AT43" s="1336"/>
      <c r="AU43" s="1336"/>
      <c r="AV43" s="1336"/>
      <c r="AW43" s="1336"/>
      <c r="AX43" s="1336"/>
    </row>
    <row r="44" spans="1:50" s="1330" customFormat="1" ht="12.75">
      <c r="A44" s="1434"/>
      <c r="B44" s="1434"/>
      <c r="C44" s="92"/>
      <c r="D44" s="1329"/>
      <c r="I44" s="1331"/>
      <c r="J44" s="115"/>
      <c r="K44" s="94"/>
      <c r="M44" s="1332"/>
      <c r="N44" s="1332"/>
      <c r="O44" s="1332"/>
      <c r="P44" s="1332"/>
      <c r="Q44" s="1332"/>
      <c r="R44" s="1332"/>
      <c r="S44" s="1331"/>
      <c r="T44" s="1331"/>
      <c r="U44" s="1331"/>
      <c r="V44" s="1331"/>
      <c r="W44" s="1331"/>
      <c r="X44" s="1330" t="s">
        <v>563</v>
      </c>
      <c r="AC44" s="1331"/>
      <c r="AD44" s="1331"/>
      <c r="AE44" s="1336"/>
      <c r="AF44" s="1336"/>
      <c r="AG44" s="1336"/>
      <c r="AH44" s="1336"/>
      <c r="AI44" s="1336"/>
      <c r="AJ44" s="93"/>
      <c r="AK44" s="94"/>
      <c r="AL44" s="94"/>
      <c r="AM44" s="94"/>
      <c r="AN44" s="94"/>
      <c r="AO44" s="1331"/>
      <c r="AP44" s="1331"/>
      <c r="AQ44" s="1331"/>
      <c r="AR44" s="1331"/>
      <c r="AS44" s="1331"/>
      <c r="AT44" s="1336"/>
      <c r="AU44" s="1336"/>
      <c r="AV44" s="1336"/>
      <c r="AW44" s="1336"/>
      <c r="AX44" s="1336"/>
    </row>
    <row r="45" spans="1:50" s="1330" customFormat="1" ht="12.75">
      <c r="A45" s="1434"/>
      <c r="B45" s="1434"/>
      <c r="C45" s="92"/>
      <c r="D45" s="1329"/>
      <c r="I45" s="1331"/>
      <c r="J45" s="115"/>
      <c r="K45" s="94"/>
      <c r="M45" s="1332"/>
      <c r="N45" s="1332"/>
      <c r="O45" s="1332"/>
      <c r="P45" s="1332"/>
      <c r="Q45" s="1332"/>
      <c r="R45" s="1332"/>
      <c r="S45" s="1331"/>
      <c r="T45" s="1331"/>
      <c r="U45" s="1331"/>
      <c r="V45" s="1331"/>
      <c r="W45" s="1331"/>
      <c r="AC45" s="1331"/>
      <c r="AD45" s="1331"/>
      <c r="AE45" s="1336"/>
      <c r="AF45" s="1336"/>
      <c r="AG45" s="1336"/>
      <c r="AH45" s="1336"/>
      <c r="AI45" s="1336"/>
      <c r="AJ45" s="93"/>
      <c r="AK45" s="94"/>
      <c r="AL45" s="94"/>
      <c r="AM45" s="94"/>
      <c r="AN45" s="94"/>
      <c r="AO45" s="1331"/>
      <c r="AP45" s="1331"/>
      <c r="AQ45" s="1331"/>
      <c r="AR45" s="1331"/>
      <c r="AS45" s="1331"/>
      <c r="AT45" s="1336"/>
      <c r="AU45" s="1336"/>
      <c r="AV45" s="1336"/>
      <c r="AW45" s="1336"/>
      <c r="AX45" s="1336"/>
    </row>
    <row r="46" spans="1:50" s="1330" customFormat="1" ht="12.75">
      <c r="A46" s="1434"/>
      <c r="B46" s="1434"/>
      <c r="C46" s="92"/>
      <c r="D46" s="1329"/>
      <c r="I46" s="1331"/>
      <c r="J46" s="115"/>
      <c r="K46" s="94"/>
      <c r="M46" s="1332"/>
      <c r="N46" s="1332"/>
      <c r="O46" s="1332"/>
      <c r="P46" s="1332"/>
      <c r="Q46" s="1332"/>
      <c r="R46" s="1332"/>
      <c r="S46" s="1331"/>
      <c r="T46" s="1331"/>
      <c r="U46" s="1331"/>
      <c r="V46" s="1331"/>
      <c r="W46" s="1331"/>
      <c r="X46" s="1333" t="s">
        <v>200</v>
      </c>
      <c r="Y46" s="1334">
        <f>SUMIF(Y6:Y11,"&gt;0",Y6:Y11)+SUMIF(Y27:Y38,"&gt;0",Y27:Y38)</f>
        <v>57.45671962167592</v>
      </c>
      <c r="Z46" s="1334">
        <f>SUMIF(Z6:Z11,"&gt;0",Z6:Z11)+SUMIF(Z27:Z38,"&gt;0",Z27:Z38)</f>
        <v>65.11136735401578</v>
      </c>
      <c r="AA46" s="1334">
        <f>SUMIF(AA6:AA11,"&gt;0",AA6:AA11)+SUMIF(AA27:AA38,"&gt;0",AA27:AA38)</f>
        <v>15.324436669461969</v>
      </c>
      <c r="AB46" s="1334">
        <f>SUMIF(AB6:AB11,"&gt;0",AB6:AB11)+SUMIF(AB27:AB38,"&gt;0",AB27:AB38)</f>
        <v>37.06222253550586</v>
      </c>
      <c r="AC46" s="1330" t="s">
        <v>564</v>
      </c>
      <c r="AD46" s="1331"/>
      <c r="AE46" s="1336"/>
      <c r="AF46" s="1336"/>
      <c r="AG46" s="1336"/>
      <c r="AH46" s="1336"/>
      <c r="AI46" s="1336"/>
      <c r="AJ46" s="93"/>
      <c r="AK46" s="94"/>
      <c r="AL46" s="94"/>
      <c r="AM46" s="94"/>
      <c r="AN46" s="94"/>
      <c r="AO46" s="1331"/>
      <c r="AP46" s="1331"/>
      <c r="AQ46" s="1331"/>
      <c r="AR46" s="1331"/>
      <c r="AS46" s="1331"/>
      <c r="AT46" s="1336"/>
      <c r="AU46" s="1336"/>
      <c r="AV46" s="1336"/>
      <c r="AW46" s="1336"/>
      <c r="AX46" s="1336"/>
    </row>
    <row r="47" spans="1:50" s="1330" customFormat="1" ht="12.75">
      <c r="A47" s="1434"/>
      <c r="B47" s="1434"/>
      <c r="C47" s="92"/>
      <c r="D47" s="1329"/>
      <c r="E47" s="1331"/>
      <c r="F47" s="1331"/>
      <c r="G47" s="1331"/>
      <c r="H47" s="1331"/>
      <c r="I47" s="1331"/>
      <c r="J47" s="115"/>
      <c r="K47" s="94"/>
      <c r="M47" s="1332"/>
      <c r="N47" s="1332"/>
      <c r="O47" s="1332"/>
      <c r="P47" s="1332"/>
      <c r="Q47" s="1332"/>
      <c r="R47" s="1332"/>
      <c r="S47" s="1331"/>
      <c r="T47" s="1331"/>
      <c r="U47" s="1331"/>
      <c r="V47" s="1331"/>
      <c r="W47" s="1331"/>
      <c r="X47" s="1338" t="s">
        <v>184</v>
      </c>
      <c r="Y47" s="1339">
        <f>SUMIF(Y12:Y27,"&gt;0",Y12:Y27)</f>
        <v>20.38212779230092</v>
      </c>
      <c r="Z47" s="1339">
        <f>SUMIF(Z12:Z27,"&gt;0",Z12:Z27)</f>
        <v>5.8024284839735545</v>
      </c>
      <c r="AA47" s="1339">
        <f>SUMIF(AA12:AA27,"&gt;0",AA12:AA27)</f>
        <v>1.7887157892334373</v>
      </c>
      <c r="AB47" s="1339">
        <f>SUMIF(AB12:AB27,"&gt;0",AB12:AB27)</f>
        <v>24.629374177652345</v>
      </c>
      <c r="AC47" s="1330" t="s">
        <v>564</v>
      </c>
      <c r="AD47" s="1331"/>
      <c r="AE47" s="1336"/>
      <c r="AF47" s="1336"/>
      <c r="AG47" s="1336"/>
      <c r="AH47" s="1336"/>
      <c r="AI47" s="1336"/>
      <c r="AJ47" s="93"/>
      <c r="AK47" s="94"/>
      <c r="AL47" s="94"/>
      <c r="AM47" s="94"/>
      <c r="AN47" s="94"/>
      <c r="AO47" s="1331"/>
      <c r="AP47" s="1331"/>
      <c r="AQ47" s="1331"/>
      <c r="AR47" s="1331"/>
      <c r="AS47" s="1331"/>
      <c r="AT47" s="1336"/>
      <c r="AU47" s="1336"/>
      <c r="AV47" s="1336"/>
      <c r="AW47" s="1336"/>
      <c r="AX47" s="1336"/>
    </row>
    <row r="48" spans="1:50" s="1330" customFormat="1" ht="12.75">
      <c r="A48" s="1434"/>
      <c r="B48" s="1434"/>
      <c r="C48" s="92"/>
      <c r="D48" s="1329"/>
      <c r="I48" s="1331"/>
      <c r="J48" s="116"/>
      <c r="K48" s="94"/>
      <c r="M48" s="1332"/>
      <c r="N48" s="1332"/>
      <c r="O48" s="1332"/>
      <c r="P48" s="1332"/>
      <c r="Q48" s="1332"/>
      <c r="R48" s="1332"/>
      <c r="S48" s="1331"/>
      <c r="T48" s="1331"/>
      <c r="U48" s="1331"/>
      <c r="V48" s="1331"/>
      <c r="W48" s="1331"/>
      <c r="X48" s="1338" t="s">
        <v>565</v>
      </c>
      <c r="Y48" s="1341">
        <f>Y46/(Y47+Y46)</f>
        <v>0.7381496711545463</v>
      </c>
      <c r="Z48" s="1342">
        <f>Z46/(Z47+Z46)</f>
        <v>0.9181763094838433</v>
      </c>
      <c r="AA48" s="1342">
        <f>AA46/(AA47+AA46)</f>
        <v>0.8954771311977315</v>
      </c>
      <c r="AB48" s="1343">
        <f>AB46/(AB47+AB46)</f>
        <v>0.6007661417458637</v>
      </c>
      <c r="AC48" s="1331"/>
      <c r="AD48" s="1331"/>
      <c r="AE48" s="1336"/>
      <c r="AF48" s="1336"/>
      <c r="AG48" s="1336"/>
      <c r="AH48" s="1336"/>
      <c r="AI48" s="1336"/>
      <c r="AJ48" s="93"/>
      <c r="AK48" s="94"/>
      <c r="AL48" s="94"/>
      <c r="AM48" s="94"/>
      <c r="AN48" s="94"/>
      <c r="AO48" s="1331"/>
      <c r="AP48" s="1331"/>
      <c r="AQ48" s="1331"/>
      <c r="AR48" s="1331"/>
      <c r="AS48" s="1331"/>
      <c r="AT48" s="1336"/>
      <c r="AU48" s="1336"/>
      <c r="AV48" s="1336"/>
      <c r="AW48" s="1336"/>
      <c r="AX48" s="1336"/>
    </row>
    <row r="49" spans="1:50" s="1330" customFormat="1" ht="12.75">
      <c r="A49" s="1434"/>
      <c r="B49" s="1434"/>
      <c r="C49" s="92"/>
      <c r="D49" s="1329"/>
      <c r="I49" s="1331"/>
      <c r="J49" s="116"/>
      <c r="K49" s="94"/>
      <c r="M49" s="1332"/>
      <c r="N49" s="1332"/>
      <c r="O49" s="1332"/>
      <c r="P49" s="1332"/>
      <c r="Q49" s="1332"/>
      <c r="R49" s="1332"/>
      <c r="S49" s="1331"/>
      <c r="T49" s="1331"/>
      <c r="U49" s="1331"/>
      <c r="V49" s="1331"/>
      <c r="W49" s="1331"/>
      <c r="X49" s="1344" t="s">
        <v>185</v>
      </c>
      <c r="Y49" s="1345">
        <f>Y47/(Y46+Y47)</f>
        <v>0.26185032884545356</v>
      </c>
      <c r="Z49" s="1346">
        <f>Z47/(Z46+Z47)</f>
        <v>0.08182369051615661</v>
      </c>
      <c r="AA49" s="1346">
        <f>AA47/(AA46+AA47)</f>
        <v>0.10452286880226842</v>
      </c>
      <c r="AB49" s="1346">
        <f>AB47/(AB46+AB47)</f>
        <v>0.3992338582541363</v>
      </c>
      <c r="AC49" s="1331"/>
      <c r="AD49" s="1331"/>
      <c r="AE49" s="1336"/>
      <c r="AF49" s="1336"/>
      <c r="AG49" s="1336"/>
      <c r="AH49" s="1336"/>
      <c r="AI49" s="1336"/>
      <c r="AJ49" s="93"/>
      <c r="AK49" s="94"/>
      <c r="AL49" s="94"/>
      <c r="AM49" s="94"/>
      <c r="AN49" s="94"/>
      <c r="AO49" s="1331"/>
      <c r="AP49" s="1331"/>
      <c r="AQ49" s="1331"/>
      <c r="AR49" s="1331"/>
      <c r="AS49" s="1331"/>
      <c r="AT49" s="1336"/>
      <c r="AU49" s="1336"/>
      <c r="AV49" s="1336"/>
      <c r="AW49" s="1336"/>
      <c r="AX49" s="1336"/>
    </row>
    <row r="50" spans="1:50" s="1330" customFormat="1" ht="12.75">
      <c r="A50" s="1434"/>
      <c r="B50" s="1434"/>
      <c r="C50" s="92"/>
      <c r="D50" s="1329"/>
      <c r="I50" s="1331"/>
      <c r="J50" s="116"/>
      <c r="K50" s="94"/>
      <c r="M50" s="1332"/>
      <c r="N50" s="1332"/>
      <c r="O50" s="1332"/>
      <c r="P50" s="1332"/>
      <c r="Q50" s="1332"/>
      <c r="R50" s="1332"/>
      <c r="S50" s="1331"/>
      <c r="T50" s="1331"/>
      <c r="U50" s="1331"/>
      <c r="V50" s="1331"/>
      <c r="W50" s="1331"/>
      <c r="Y50" s="1331"/>
      <c r="Z50" s="1331"/>
      <c r="AA50" s="1331"/>
      <c r="AB50" s="1331"/>
      <c r="AC50" s="1331"/>
      <c r="AD50" s="1331"/>
      <c r="AE50" s="1336"/>
      <c r="AF50" s="1336"/>
      <c r="AG50" s="1336"/>
      <c r="AH50" s="1336"/>
      <c r="AI50" s="1336"/>
      <c r="AJ50" s="93"/>
      <c r="AK50" s="94"/>
      <c r="AL50" s="94"/>
      <c r="AM50" s="94"/>
      <c r="AN50" s="94"/>
      <c r="AO50" s="1331"/>
      <c r="AP50" s="1331"/>
      <c r="AQ50" s="1331"/>
      <c r="AR50" s="1331"/>
      <c r="AS50" s="1331"/>
      <c r="AT50" s="1336"/>
      <c r="AU50" s="1336"/>
      <c r="AV50" s="1336"/>
      <c r="AW50" s="1336"/>
      <c r="AX50" s="1336"/>
    </row>
    <row r="51" spans="1:50" s="1330" customFormat="1" ht="12.75">
      <c r="A51" s="1434"/>
      <c r="B51" s="1434"/>
      <c r="C51" s="92"/>
      <c r="D51" s="1329"/>
      <c r="I51" s="1331"/>
      <c r="J51" s="116"/>
      <c r="K51" s="94"/>
      <c r="M51" s="1332"/>
      <c r="N51" s="1332"/>
      <c r="O51" s="1332"/>
      <c r="P51" s="1332"/>
      <c r="Q51" s="1332"/>
      <c r="R51" s="1332"/>
      <c r="S51" s="1331"/>
      <c r="T51" s="1331"/>
      <c r="U51" s="1331"/>
      <c r="V51" s="1331"/>
      <c r="W51" s="1331"/>
      <c r="Y51" s="1331"/>
      <c r="Z51" s="1331"/>
      <c r="AA51" s="1331"/>
      <c r="AB51" s="1331"/>
      <c r="AC51" s="1331"/>
      <c r="AD51" s="1331"/>
      <c r="AE51" s="1336"/>
      <c r="AF51" s="1336"/>
      <c r="AG51" s="1336"/>
      <c r="AH51" s="1336"/>
      <c r="AI51" s="1336"/>
      <c r="AJ51" s="93"/>
      <c r="AK51" s="94"/>
      <c r="AL51" s="94"/>
      <c r="AM51" s="94"/>
      <c r="AN51" s="94"/>
      <c r="AO51" s="1331"/>
      <c r="AP51" s="1331"/>
      <c r="AQ51" s="1331"/>
      <c r="AR51" s="1331"/>
      <c r="AS51" s="1331"/>
      <c r="AT51" s="1336"/>
      <c r="AU51" s="1336"/>
      <c r="AV51" s="1336"/>
      <c r="AW51" s="1336"/>
      <c r="AX51" s="1336"/>
    </row>
    <row r="52" spans="1:50" s="1330" customFormat="1" ht="12.75">
      <c r="A52" s="1434"/>
      <c r="B52" s="1434"/>
      <c r="C52" s="92"/>
      <c r="D52" s="1329"/>
      <c r="I52" s="1331"/>
      <c r="J52" s="116"/>
      <c r="K52" s="94"/>
      <c r="M52" s="1332"/>
      <c r="N52" s="1332"/>
      <c r="O52" s="1332"/>
      <c r="P52" s="1332"/>
      <c r="Q52" s="1332"/>
      <c r="R52" s="1332"/>
      <c r="S52" s="1331"/>
      <c r="T52" s="1331"/>
      <c r="U52" s="1331"/>
      <c r="V52" s="1331"/>
      <c r="W52" s="1331"/>
      <c r="Y52" s="1331"/>
      <c r="Z52" s="1331"/>
      <c r="AA52" s="1331"/>
      <c r="AB52" s="1331"/>
      <c r="AC52" s="1331"/>
      <c r="AD52" s="1331"/>
      <c r="AE52" s="1336"/>
      <c r="AF52" s="1336"/>
      <c r="AG52" s="1336"/>
      <c r="AH52" s="1336"/>
      <c r="AI52" s="1336"/>
      <c r="AJ52" s="93"/>
      <c r="AK52" s="94"/>
      <c r="AL52" s="94"/>
      <c r="AM52" s="94"/>
      <c r="AN52" s="94"/>
      <c r="AO52" s="1331"/>
      <c r="AP52" s="1331"/>
      <c r="AQ52" s="1331"/>
      <c r="AR52" s="1331"/>
      <c r="AS52" s="1331"/>
      <c r="AT52" s="1336"/>
      <c r="AU52" s="1336"/>
      <c r="AV52" s="1336"/>
      <c r="AW52" s="1336"/>
      <c r="AX52" s="1336"/>
    </row>
    <row r="53" spans="1:50" s="1330" customFormat="1" ht="12.75">
      <c r="A53" s="1434"/>
      <c r="B53" s="1434"/>
      <c r="C53" s="92"/>
      <c r="D53" s="1329"/>
      <c r="I53" s="1331"/>
      <c r="J53" s="116"/>
      <c r="K53" s="94"/>
      <c r="M53" s="1332"/>
      <c r="N53" s="1332"/>
      <c r="O53" s="1332"/>
      <c r="P53" s="1332"/>
      <c r="Q53" s="1332"/>
      <c r="R53" s="1332"/>
      <c r="S53" s="1331"/>
      <c r="T53" s="1331"/>
      <c r="U53" s="1331"/>
      <c r="V53" s="1331"/>
      <c r="W53" s="1331"/>
      <c r="Y53" s="1331"/>
      <c r="Z53" s="1331"/>
      <c r="AA53" s="1331"/>
      <c r="AB53" s="1331"/>
      <c r="AC53" s="1331"/>
      <c r="AD53" s="1331"/>
      <c r="AE53" s="1336"/>
      <c r="AF53" s="1336"/>
      <c r="AG53" s="1336"/>
      <c r="AH53" s="1336"/>
      <c r="AI53" s="1336"/>
      <c r="AJ53" s="93"/>
      <c r="AK53" s="94"/>
      <c r="AL53" s="94"/>
      <c r="AM53" s="94"/>
      <c r="AN53" s="94"/>
      <c r="AO53" s="1331"/>
      <c r="AP53" s="1331"/>
      <c r="AQ53" s="1331"/>
      <c r="AR53" s="1331"/>
      <c r="AS53" s="1331"/>
      <c r="AT53" s="1336"/>
      <c r="AU53" s="1336"/>
      <c r="AV53" s="1336"/>
      <c r="AW53" s="1336"/>
      <c r="AX53" s="1336"/>
    </row>
    <row r="54" spans="1:50" s="1330" customFormat="1" ht="12.75">
      <c r="A54" s="1434"/>
      <c r="B54" s="1434"/>
      <c r="C54" s="92"/>
      <c r="D54" s="1329"/>
      <c r="I54" s="1331"/>
      <c r="J54" s="116"/>
      <c r="K54" s="94"/>
      <c r="M54" s="1332"/>
      <c r="N54" s="1332"/>
      <c r="O54" s="1332"/>
      <c r="P54" s="1332"/>
      <c r="Q54" s="1332"/>
      <c r="R54" s="1332"/>
      <c r="S54" s="1331"/>
      <c r="T54" s="1331"/>
      <c r="U54" s="1331"/>
      <c r="V54" s="1331"/>
      <c r="W54" s="1331"/>
      <c r="Y54" s="1331"/>
      <c r="Z54" s="1331"/>
      <c r="AA54" s="1331"/>
      <c r="AB54" s="1331"/>
      <c r="AC54" s="1331"/>
      <c r="AD54" s="1331"/>
      <c r="AE54" s="1336"/>
      <c r="AF54" s="1336"/>
      <c r="AG54" s="1336"/>
      <c r="AH54" s="1336"/>
      <c r="AI54" s="1336"/>
      <c r="AJ54" s="93"/>
      <c r="AK54" s="94"/>
      <c r="AL54" s="94"/>
      <c r="AM54" s="94"/>
      <c r="AN54" s="94"/>
      <c r="AO54" s="1331"/>
      <c r="AP54" s="1331"/>
      <c r="AQ54" s="1331"/>
      <c r="AR54" s="1331"/>
      <c r="AS54" s="1331"/>
      <c r="AT54" s="1336"/>
      <c r="AU54" s="1336"/>
      <c r="AV54" s="1336"/>
      <c r="AW54" s="1336"/>
      <c r="AX54" s="1336"/>
    </row>
    <row r="55" spans="1:50" s="1330" customFormat="1" ht="12.75">
      <c r="A55" s="1434"/>
      <c r="B55" s="1434"/>
      <c r="C55" s="92"/>
      <c r="D55" s="1329"/>
      <c r="I55" s="1331"/>
      <c r="J55" s="116"/>
      <c r="K55" s="94"/>
      <c r="M55" s="1332"/>
      <c r="N55" s="1332"/>
      <c r="O55" s="1332"/>
      <c r="P55" s="1332"/>
      <c r="Q55" s="1332"/>
      <c r="R55" s="1332"/>
      <c r="S55" s="1331"/>
      <c r="T55" s="1331"/>
      <c r="U55" s="1331"/>
      <c r="V55" s="1331"/>
      <c r="W55" s="1331"/>
      <c r="Y55" s="1331"/>
      <c r="Z55" s="1331"/>
      <c r="AA55" s="1331"/>
      <c r="AB55" s="1331"/>
      <c r="AC55" s="1331"/>
      <c r="AD55" s="1331"/>
      <c r="AE55" s="1336"/>
      <c r="AF55" s="1336"/>
      <c r="AG55" s="1336"/>
      <c r="AH55" s="1336"/>
      <c r="AI55" s="1336"/>
      <c r="AJ55" s="93"/>
      <c r="AK55" s="94"/>
      <c r="AL55" s="94"/>
      <c r="AM55" s="94"/>
      <c r="AN55" s="94"/>
      <c r="AO55" s="1331"/>
      <c r="AP55" s="1331"/>
      <c r="AQ55" s="1331"/>
      <c r="AR55" s="1331"/>
      <c r="AS55" s="1331"/>
      <c r="AT55" s="1336"/>
      <c r="AU55" s="1336"/>
      <c r="AV55" s="1336"/>
      <c r="AW55" s="1336"/>
      <c r="AX55" s="1336"/>
    </row>
    <row r="56" spans="1:50" s="1330" customFormat="1" ht="12.75">
      <c r="A56" s="1434"/>
      <c r="B56" s="1434"/>
      <c r="C56" s="92"/>
      <c r="D56" s="1329"/>
      <c r="I56" s="1331"/>
      <c r="J56" s="116"/>
      <c r="K56" s="94"/>
      <c r="M56" s="1332"/>
      <c r="N56" s="1332"/>
      <c r="O56" s="1332"/>
      <c r="P56" s="1332"/>
      <c r="Q56" s="1332"/>
      <c r="R56" s="1332"/>
      <c r="S56" s="1331"/>
      <c r="T56" s="1331"/>
      <c r="U56" s="1331"/>
      <c r="V56" s="1331"/>
      <c r="W56" s="1331"/>
      <c r="Y56" s="1331"/>
      <c r="Z56" s="1331"/>
      <c r="AA56" s="1331"/>
      <c r="AB56" s="1331"/>
      <c r="AC56" s="1331"/>
      <c r="AD56" s="1331"/>
      <c r="AE56" s="1336"/>
      <c r="AF56" s="1336"/>
      <c r="AG56" s="1336"/>
      <c r="AH56" s="1336"/>
      <c r="AI56" s="1336"/>
      <c r="AJ56" s="93"/>
      <c r="AK56" s="94"/>
      <c r="AL56" s="94"/>
      <c r="AM56" s="94"/>
      <c r="AN56" s="94"/>
      <c r="AO56" s="1331"/>
      <c r="AP56" s="1331"/>
      <c r="AQ56" s="1331"/>
      <c r="AR56" s="1331"/>
      <c r="AS56" s="1331"/>
      <c r="AT56" s="1336"/>
      <c r="AU56" s="1336"/>
      <c r="AV56" s="1336"/>
      <c r="AW56" s="1336"/>
      <c r="AX56" s="1336"/>
    </row>
    <row r="57" spans="1:50" s="1330" customFormat="1" ht="12.75">
      <c r="A57" s="1434"/>
      <c r="B57" s="1434"/>
      <c r="C57" s="92"/>
      <c r="D57" s="1329"/>
      <c r="I57" s="1331"/>
      <c r="J57" s="116"/>
      <c r="K57" s="94"/>
      <c r="M57" s="1332"/>
      <c r="N57" s="1332"/>
      <c r="O57" s="1332"/>
      <c r="P57" s="1332"/>
      <c r="Q57" s="1332"/>
      <c r="R57" s="1332"/>
      <c r="S57" s="1331"/>
      <c r="T57" s="1331"/>
      <c r="U57" s="1331"/>
      <c r="V57" s="1331"/>
      <c r="W57" s="1331"/>
      <c r="Y57" s="1331"/>
      <c r="Z57" s="1331"/>
      <c r="AA57" s="1331"/>
      <c r="AB57" s="1331"/>
      <c r="AC57" s="1331"/>
      <c r="AD57" s="1331"/>
      <c r="AE57" s="1336"/>
      <c r="AF57" s="1336"/>
      <c r="AG57" s="1336"/>
      <c r="AH57" s="1336"/>
      <c r="AI57" s="1336"/>
      <c r="AJ57" s="93"/>
      <c r="AK57" s="94"/>
      <c r="AL57" s="94"/>
      <c r="AM57" s="94"/>
      <c r="AN57" s="94"/>
      <c r="AO57" s="1331"/>
      <c r="AP57" s="1331"/>
      <c r="AQ57" s="1331"/>
      <c r="AR57" s="1331"/>
      <c r="AS57" s="1331"/>
      <c r="AT57" s="1336"/>
      <c r="AU57" s="1336"/>
      <c r="AV57" s="1336"/>
      <c r="AW57" s="1336"/>
      <c r="AX57" s="1336"/>
    </row>
    <row r="58" spans="1:50" s="1330" customFormat="1" ht="12.75">
      <c r="A58" s="1434"/>
      <c r="B58" s="1434"/>
      <c r="C58" s="92"/>
      <c r="D58" s="1329"/>
      <c r="I58" s="1331"/>
      <c r="J58" s="116"/>
      <c r="K58" s="94"/>
      <c r="M58" s="1332"/>
      <c r="N58" s="1332"/>
      <c r="O58" s="1332"/>
      <c r="P58" s="1332"/>
      <c r="Q58" s="1332"/>
      <c r="R58" s="1332"/>
      <c r="S58" s="1331"/>
      <c r="T58" s="1331"/>
      <c r="U58" s="1331"/>
      <c r="V58" s="1331"/>
      <c r="W58" s="1331"/>
      <c r="Y58" s="1331"/>
      <c r="Z58" s="1331"/>
      <c r="AA58" s="1331"/>
      <c r="AB58" s="1331"/>
      <c r="AC58" s="1331"/>
      <c r="AD58" s="1331"/>
      <c r="AE58" s="1336"/>
      <c r="AF58" s="1336"/>
      <c r="AG58" s="1336"/>
      <c r="AH58" s="1336"/>
      <c r="AI58" s="1336"/>
      <c r="AJ58" s="93"/>
      <c r="AK58" s="94"/>
      <c r="AL58" s="94"/>
      <c r="AM58" s="94"/>
      <c r="AN58" s="94"/>
      <c r="AO58" s="1331"/>
      <c r="AP58" s="1331"/>
      <c r="AQ58" s="1331"/>
      <c r="AR58" s="1331"/>
      <c r="AS58" s="1331"/>
      <c r="AT58" s="1336"/>
      <c r="AU58" s="1336"/>
      <c r="AV58" s="1336"/>
      <c r="AW58" s="1336"/>
      <c r="AX58" s="1336"/>
    </row>
    <row r="59" spans="1:50" s="1330" customFormat="1" ht="12.75">
      <c r="A59" s="1434"/>
      <c r="B59" s="1434"/>
      <c r="C59" s="92"/>
      <c r="D59" s="1329"/>
      <c r="I59" s="1331"/>
      <c r="J59" s="116"/>
      <c r="K59" s="94"/>
      <c r="M59" s="1332"/>
      <c r="N59" s="1332"/>
      <c r="O59" s="1332"/>
      <c r="P59" s="1332"/>
      <c r="Q59" s="1332"/>
      <c r="R59" s="1332"/>
      <c r="S59" s="1331"/>
      <c r="T59" s="1331"/>
      <c r="U59" s="1331"/>
      <c r="V59" s="1331"/>
      <c r="W59" s="1331"/>
      <c r="Y59" s="1331"/>
      <c r="Z59" s="1331"/>
      <c r="AA59" s="1331"/>
      <c r="AB59" s="1331"/>
      <c r="AC59" s="1331"/>
      <c r="AD59" s="1331"/>
      <c r="AE59" s="1336"/>
      <c r="AF59" s="1336"/>
      <c r="AG59" s="1336"/>
      <c r="AH59" s="1336"/>
      <c r="AI59" s="1336"/>
      <c r="AJ59" s="93"/>
      <c r="AK59" s="94"/>
      <c r="AL59" s="94"/>
      <c r="AM59" s="94"/>
      <c r="AN59" s="94"/>
      <c r="AO59" s="1331"/>
      <c r="AP59" s="1331"/>
      <c r="AQ59" s="1331"/>
      <c r="AR59" s="1331"/>
      <c r="AS59" s="1331"/>
      <c r="AT59" s="1336"/>
      <c r="AU59" s="1336"/>
      <c r="AV59" s="1336"/>
      <c r="AW59" s="1336"/>
      <c r="AX59" s="1336"/>
    </row>
    <row r="60" spans="1:50" s="1330" customFormat="1" ht="12.75">
      <c r="A60" s="1434"/>
      <c r="B60" s="1434"/>
      <c r="C60" s="92"/>
      <c r="D60" s="1329"/>
      <c r="I60" s="1331"/>
      <c r="J60" s="116"/>
      <c r="K60" s="94"/>
      <c r="M60" s="1332"/>
      <c r="N60" s="1332"/>
      <c r="O60" s="1332"/>
      <c r="P60" s="1332"/>
      <c r="Q60" s="1332"/>
      <c r="R60" s="1332"/>
      <c r="S60" s="1331"/>
      <c r="T60" s="1331"/>
      <c r="U60" s="1331"/>
      <c r="V60" s="1331"/>
      <c r="W60" s="1331"/>
      <c r="Y60" s="1331"/>
      <c r="Z60" s="1331"/>
      <c r="AA60" s="1331"/>
      <c r="AB60" s="1331"/>
      <c r="AC60" s="1331"/>
      <c r="AD60" s="1331"/>
      <c r="AE60" s="1336"/>
      <c r="AF60" s="1336"/>
      <c r="AG60" s="1336"/>
      <c r="AH60" s="1336"/>
      <c r="AI60" s="1336"/>
      <c r="AJ60" s="93"/>
      <c r="AK60" s="94"/>
      <c r="AL60" s="94"/>
      <c r="AM60" s="94"/>
      <c r="AN60" s="94"/>
      <c r="AO60" s="1331"/>
      <c r="AP60" s="1331"/>
      <c r="AQ60" s="1331"/>
      <c r="AR60" s="1331"/>
      <c r="AS60" s="1331"/>
      <c r="AT60" s="1336"/>
      <c r="AU60" s="1336"/>
      <c r="AV60" s="1336"/>
      <c r="AW60" s="1336"/>
      <c r="AX60" s="1336"/>
    </row>
    <row r="61" spans="1:50" s="1330" customFormat="1" ht="12.75">
      <c r="A61" s="1434"/>
      <c r="B61" s="1434"/>
      <c r="C61" s="92"/>
      <c r="D61" s="1329"/>
      <c r="I61" s="1331"/>
      <c r="J61" s="116"/>
      <c r="K61" s="94"/>
      <c r="M61" s="1332"/>
      <c r="N61" s="1332"/>
      <c r="O61" s="1332"/>
      <c r="P61" s="1332"/>
      <c r="Q61" s="1332"/>
      <c r="R61" s="1332"/>
      <c r="S61" s="1331"/>
      <c r="T61" s="1331"/>
      <c r="U61" s="1331"/>
      <c r="V61" s="1331"/>
      <c r="W61" s="1331"/>
      <c r="Y61" s="1331"/>
      <c r="Z61" s="1331"/>
      <c r="AA61" s="1331"/>
      <c r="AB61" s="1331"/>
      <c r="AC61" s="1331"/>
      <c r="AD61" s="1331"/>
      <c r="AE61" s="1336"/>
      <c r="AF61" s="1336"/>
      <c r="AG61" s="1336"/>
      <c r="AH61" s="1336"/>
      <c r="AI61" s="1336"/>
      <c r="AJ61" s="93"/>
      <c r="AK61" s="94"/>
      <c r="AL61" s="94"/>
      <c r="AM61" s="94"/>
      <c r="AN61" s="94"/>
      <c r="AO61" s="1331"/>
      <c r="AP61" s="1331"/>
      <c r="AQ61" s="1331"/>
      <c r="AR61" s="1331"/>
      <c r="AS61" s="1331"/>
      <c r="AT61" s="1336"/>
      <c r="AU61" s="1336"/>
      <c r="AV61" s="1336"/>
      <c r="AW61" s="1336"/>
      <c r="AX61" s="1336"/>
    </row>
    <row r="62" spans="1:50" s="1330" customFormat="1" ht="12.75">
      <c r="A62" s="1434"/>
      <c r="B62" s="1434"/>
      <c r="C62" s="92"/>
      <c r="D62" s="1329"/>
      <c r="I62" s="1331"/>
      <c r="J62" s="116"/>
      <c r="K62" s="94"/>
      <c r="M62" s="1332"/>
      <c r="N62" s="1332"/>
      <c r="O62" s="1332"/>
      <c r="P62" s="1332"/>
      <c r="Q62" s="1332"/>
      <c r="R62" s="1332"/>
      <c r="S62" s="1331"/>
      <c r="T62" s="1331"/>
      <c r="U62" s="1331"/>
      <c r="V62" s="1331"/>
      <c r="W62" s="1331"/>
      <c r="Y62" s="1331"/>
      <c r="Z62" s="1331"/>
      <c r="AA62" s="1331"/>
      <c r="AB62" s="1331"/>
      <c r="AC62" s="1331"/>
      <c r="AD62" s="1331"/>
      <c r="AE62" s="1336"/>
      <c r="AF62" s="1336"/>
      <c r="AG62" s="1336"/>
      <c r="AH62" s="1336"/>
      <c r="AI62" s="1336"/>
      <c r="AJ62" s="93"/>
      <c r="AK62" s="94"/>
      <c r="AL62" s="94"/>
      <c r="AM62" s="94"/>
      <c r="AN62" s="94"/>
      <c r="AO62" s="1331"/>
      <c r="AP62" s="1331"/>
      <c r="AQ62" s="1331"/>
      <c r="AR62" s="1331"/>
      <c r="AS62" s="1331"/>
      <c r="AT62" s="1336"/>
      <c r="AU62" s="1336"/>
      <c r="AV62" s="1336"/>
      <c r="AW62" s="1336"/>
      <c r="AX62" s="1336"/>
    </row>
  </sheetData>
  <sheetProtection/>
  <mergeCells count="23">
    <mergeCell ref="AU39:AX39"/>
    <mergeCell ref="AE39:AH39"/>
    <mergeCell ref="M4:P4"/>
    <mergeCell ref="Y39:AB39"/>
    <mergeCell ref="AO39:AR39"/>
    <mergeCell ref="A42:A62"/>
    <mergeCell ref="B42:B47"/>
    <mergeCell ref="B48:B62"/>
    <mergeCell ref="E4:H4"/>
    <mergeCell ref="AJ2:AR2"/>
    <mergeCell ref="AU3:AX3"/>
    <mergeCell ref="AJ3:AL3"/>
    <mergeCell ref="AO3:AR3"/>
    <mergeCell ref="AE3:AH3"/>
    <mergeCell ref="L3:P3"/>
    <mergeCell ref="S3:V3"/>
    <mergeCell ref="Y3:AB3"/>
    <mergeCell ref="D2:I2"/>
    <mergeCell ref="L2:P2"/>
    <mergeCell ref="S2:V2"/>
    <mergeCell ref="Y2:AB2"/>
    <mergeCell ref="E3:I3"/>
    <mergeCell ref="AE2:AH2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309" t="s">
        <v>388</v>
      </c>
      <c r="D1" s="857" t="s">
        <v>55</v>
      </c>
    </row>
    <row r="2" ht="38.25">
      <c r="B2" s="1310" t="s">
        <v>263</v>
      </c>
    </row>
    <row r="3" spans="1:2" ht="12.75">
      <c r="A3" s="1310" t="s">
        <v>264</v>
      </c>
      <c r="B3" s="152">
        <f>'RRP 5.1'!G36</f>
        <v>19286</v>
      </c>
    </row>
    <row r="4" spans="1:2" ht="12.75">
      <c r="A4" s="1310" t="s">
        <v>265</v>
      </c>
      <c r="B4" s="152">
        <f>'RRP 5.1'!G35</f>
        <v>9669</v>
      </c>
    </row>
    <row r="5" spans="1:2" ht="12.75">
      <c r="A5" s="1310" t="s">
        <v>427</v>
      </c>
      <c r="B5" s="152">
        <f>'RRP 5.1'!G34</f>
        <v>710</v>
      </c>
    </row>
    <row r="6" spans="1:2" ht="12.75">
      <c r="A6" s="1310" t="s">
        <v>449</v>
      </c>
      <c r="B6" s="152">
        <f>'RRP 5.1'!G40</f>
        <v>1439</v>
      </c>
    </row>
    <row r="8" ht="15.75">
      <c r="A8" s="1309" t="s">
        <v>699</v>
      </c>
    </row>
    <row r="9" spans="2:6" ht="12.75">
      <c r="B9" s="1310" t="s">
        <v>700</v>
      </c>
      <c r="C9" s="1310" t="s">
        <v>875</v>
      </c>
      <c r="D9" s="1310" t="s">
        <v>874</v>
      </c>
      <c r="E9" s="1310" t="s">
        <v>880</v>
      </c>
      <c r="F9" s="1310" t="s">
        <v>878</v>
      </c>
    </row>
    <row r="10" spans="1:6" ht="12.75">
      <c r="A10" s="1310" t="s">
        <v>264</v>
      </c>
      <c r="B10" s="152">
        <v>1</v>
      </c>
      <c r="C10" s="152">
        <v>1</v>
      </c>
      <c r="D10" s="152">
        <v>1</v>
      </c>
      <c r="E10" s="152">
        <v>1</v>
      </c>
      <c r="F10" s="152">
        <v>1</v>
      </c>
    </row>
    <row r="11" spans="1:6" ht="12.75">
      <c r="A11" s="1310" t="s">
        <v>265</v>
      </c>
      <c r="B11" s="152">
        <v>0</v>
      </c>
      <c r="C11" s="152">
        <v>0</v>
      </c>
      <c r="D11" s="152">
        <f>(1+$B$6/($B$3+$B$4/2+$B$5/4)/2)/(1+$B$6/($B$3+$B$4/2+$B$5/4))</f>
        <v>0.9720441387885145</v>
      </c>
      <c r="E11" s="152">
        <f>(1+$B$6/($B$3+$B$4/2+$B$5/4)/2)/(1+$B$6/($B$3+$B$4/2+$B$5/4))</f>
        <v>0.9720441387885145</v>
      </c>
      <c r="F11" s="152">
        <f>(1+$B$6/($B$3+$B$4/2+$B$5/4)/2)/(1+$B$6/($B$3+$B$4/2+$B$5/4))</f>
        <v>0.9720441387885145</v>
      </c>
    </row>
    <row r="12" spans="1:6" ht="12.75">
      <c r="A12" s="1310" t="s">
        <v>427</v>
      </c>
      <c r="B12" s="152">
        <v>0</v>
      </c>
      <c r="C12" s="152">
        <v>0</v>
      </c>
      <c r="D12" s="152">
        <v>0</v>
      </c>
      <c r="E12" s="152">
        <f>(1+$B$6/($B$3+$B$4/2+$B$5/4)/4)/(1+$B$6/($B$3+$B$4/2+$B$5/4))</f>
        <v>0.9580662081827719</v>
      </c>
      <c r="F12" s="152">
        <f>(1+$B$6/($B$3+$B$4/2+$B$5/4)/4)/(1+$B$6/($B$3+$B$4/2+$B$5/4))</f>
        <v>0.9580662081827719</v>
      </c>
    </row>
    <row r="14" ht="15.75">
      <c r="A14" s="1309"/>
    </row>
    <row r="15" ht="14.25">
      <c r="A15" s="1311"/>
    </row>
    <row r="16" ht="14.25">
      <c r="A16" s="1311"/>
    </row>
    <row r="17" ht="14.25">
      <c r="A17" s="1312"/>
    </row>
    <row r="18" ht="14.25">
      <c r="A18" s="1312"/>
    </row>
    <row r="19" spans="2:6" ht="12.75">
      <c r="B19" s="1310" t="s">
        <v>700</v>
      </c>
      <c r="C19" s="1310" t="s">
        <v>875</v>
      </c>
      <c r="D19" s="1310" t="s">
        <v>874</v>
      </c>
      <c r="E19" s="1310" t="s">
        <v>880</v>
      </c>
      <c r="F19" s="1310" t="s">
        <v>878</v>
      </c>
    </row>
    <row r="20" spans="1:6" ht="12.75">
      <c r="A20" s="1310" t="s">
        <v>448</v>
      </c>
      <c r="B20" s="153">
        <f>SUMPRODUCT(B$10:B$12,$B$3:$B$5)</f>
        <v>19286</v>
      </c>
      <c r="C20" s="153">
        <f>SUMPRODUCT(C$10:C$12,$B$3:$B$5)</f>
        <v>19286</v>
      </c>
      <c r="D20" s="153">
        <f>SUMPRODUCT(D$10:D$12,$B$3:$B$5)</f>
        <v>28684.694777946148</v>
      </c>
      <c r="E20" s="153">
        <f>SUMPRODUCT(E$10:E$12,$B$3:$B$5)</f>
        <v>29364.921785755916</v>
      </c>
      <c r="F20" s="153">
        <f>SUMPRODUCT(F$10:F$12,$B$3:$B$5)</f>
        <v>29364.921785755916</v>
      </c>
    </row>
    <row r="21" spans="1:6" ht="12.75">
      <c r="A21" s="1310" t="s">
        <v>160</v>
      </c>
      <c r="B21" s="156">
        <f>B20*1000000</f>
        <v>19286000000</v>
      </c>
      <c r="C21" s="156">
        <f>C20*1000000</f>
        <v>19286000000</v>
      </c>
      <c r="D21" s="156">
        <f>D20*1000000</f>
        <v>28684694777.946148</v>
      </c>
      <c r="E21" s="156">
        <f>E20*1000000</f>
        <v>29364921785.755917</v>
      </c>
      <c r="F21" s="156">
        <f>F20*1000000</f>
        <v>29364921785.755917</v>
      </c>
    </row>
    <row r="25" spans="1:5" ht="12.75">
      <c r="A25" s="70"/>
      <c r="B25" s="70"/>
      <c r="C25" s="70"/>
      <c r="D25" s="70"/>
      <c r="E25" s="70"/>
    </row>
    <row r="26" spans="1:5" ht="12.75">
      <c r="A26" s="70"/>
      <c r="B26" s="70"/>
      <c r="C26" s="70"/>
      <c r="D26" s="70"/>
      <c r="E26" s="70"/>
    </row>
    <row r="27" spans="1:5" ht="12.75">
      <c r="A27" s="70"/>
      <c r="B27" s="70"/>
      <c r="C27" s="154"/>
      <c r="D27" s="154"/>
      <c r="E27" s="154"/>
    </row>
    <row r="28" spans="1:5" ht="12.75">
      <c r="A28" s="70"/>
      <c r="B28" s="70"/>
      <c r="C28" s="154"/>
      <c r="D28" s="154"/>
      <c r="E28" s="154"/>
    </row>
    <row r="29" spans="1:5" ht="12.75">
      <c r="A29" s="70"/>
      <c r="B29" s="70"/>
      <c r="C29" s="154"/>
      <c r="D29" s="154"/>
      <c r="E29" s="154"/>
    </row>
    <row r="30" spans="1:5" ht="12.75">
      <c r="A30" s="70"/>
      <c r="B30" s="70"/>
      <c r="C30" s="154"/>
      <c r="D30" s="154"/>
      <c r="E30" s="154"/>
    </row>
    <row r="31" spans="1:5" ht="12.75">
      <c r="A31" s="70"/>
      <c r="B31" s="70"/>
      <c r="C31" s="155"/>
      <c r="D31" s="155"/>
      <c r="E31" s="154"/>
    </row>
    <row r="32" spans="1:5" ht="12.75">
      <c r="A32" s="70"/>
      <c r="B32" s="70"/>
      <c r="C32" s="155"/>
      <c r="D32" s="155"/>
      <c r="E32" s="154"/>
    </row>
    <row r="33" spans="1:5" ht="12.75">
      <c r="A33" s="70"/>
      <c r="B33" s="70"/>
      <c r="C33" s="155"/>
      <c r="D33" s="155"/>
      <c r="E33" s="154"/>
    </row>
    <row r="34" spans="1:5" ht="12.75">
      <c r="A34" s="70"/>
      <c r="B34" s="70"/>
      <c r="C34" s="155"/>
      <c r="D34" s="155"/>
      <c r="E34" s="154"/>
    </row>
    <row r="35" spans="1:5" ht="12.75">
      <c r="A35" s="70"/>
      <c r="B35" s="70"/>
      <c r="C35" s="155"/>
      <c r="D35" s="86"/>
      <c r="E35" s="86"/>
    </row>
    <row r="36" spans="1:5" ht="12.75">
      <c r="A36" s="70"/>
      <c r="B36" s="70"/>
      <c r="C36" s="86"/>
      <c r="D36" s="86"/>
      <c r="E36" s="86"/>
    </row>
    <row r="37" spans="1:5" ht="12.75">
      <c r="A37" s="70"/>
      <c r="B37" s="70"/>
      <c r="C37" s="154"/>
      <c r="D37" s="154"/>
      <c r="E37" s="154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2">
      <selection activeCell="F22" sqref="F22"/>
    </sheetView>
  </sheetViews>
  <sheetFormatPr defaultColWidth="11.42187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267" customFormat="1" ht="12.75">
      <c r="A1" s="1267" t="s">
        <v>290</v>
      </c>
      <c r="G1" s="857" t="s">
        <v>55</v>
      </c>
    </row>
    <row r="3" spans="2:7" ht="12.75">
      <c r="B3" s="1299" t="s">
        <v>189</v>
      </c>
      <c r="C3" s="1299" t="s">
        <v>875</v>
      </c>
      <c r="D3" s="1299" t="s">
        <v>874</v>
      </c>
      <c r="E3" s="1299" t="s">
        <v>880</v>
      </c>
      <c r="F3" s="1300" t="s">
        <v>190</v>
      </c>
      <c r="G3" s="1301"/>
    </row>
    <row r="4" spans="2:7" ht="38.25">
      <c r="B4" s="1302" t="s">
        <v>121</v>
      </c>
      <c r="C4" s="14">
        <f>'Calc-Net capex'!$D$6</f>
        <v>0.13596332621236557</v>
      </c>
      <c r="D4" s="14">
        <f>'Calc-Net capex'!$D$7</f>
        <v>0.3317703747643298</v>
      </c>
      <c r="E4" s="58">
        <f>'Calc-Net capex'!$D$8+'Calc-Net capex'!$D$9</f>
        <v>0.5322662990233047</v>
      </c>
      <c r="F4" s="62" t="s">
        <v>155</v>
      </c>
      <c r="G4" s="262"/>
    </row>
    <row r="5" spans="2:7" ht="12.75">
      <c r="B5" s="1302" t="s">
        <v>575</v>
      </c>
      <c r="C5" s="16">
        <v>1</v>
      </c>
      <c r="D5" s="16">
        <v>0</v>
      </c>
      <c r="E5" s="59">
        <v>0</v>
      </c>
      <c r="F5" s="63" t="s">
        <v>194</v>
      </c>
      <c r="G5" s="63"/>
    </row>
    <row r="6" spans="2:7" ht="12.75">
      <c r="B6" s="1302" t="s">
        <v>314</v>
      </c>
      <c r="C6" s="15">
        <f>'RRP 5.1'!$G$64/'RRP 5.1'!$G$65</f>
        <v>0.5364633252522975</v>
      </c>
      <c r="D6" s="15">
        <f>'RRP 5.1'!$G$63/'RRP 5.1'!$G$65</f>
        <v>0.3647882956531544</v>
      </c>
      <c r="E6" s="60">
        <f>('RRP 5.1'!$G$61+'RRP 5.1'!$G$62)/'RRP 5.1'!$G$65</f>
        <v>0.09874837909454812</v>
      </c>
      <c r="F6" s="63" t="s">
        <v>191</v>
      </c>
      <c r="G6" s="63"/>
    </row>
    <row r="7" spans="2:7" ht="12.75">
      <c r="B7" s="1302" t="s">
        <v>174</v>
      </c>
      <c r="C7" s="15">
        <f>0/'RRP 5.1'!$G$73</f>
        <v>0</v>
      </c>
      <c r="D7" s="15">
        <f>('RRP 5.1'!$G$71+'RRP 5.1'!$G$72)/'RRP 5.1'!$G$73</f>
        <v>0.9902549943154133</v>
      </c>
      <c r="E7" s="60">
        <f>('RRP 5.1'!$G$68+'RRP 5.1'!$G$69+'RRP 5.1'!$G$70)/'RRP 5.1'!$G$73</f>
        <v>0.009745005684586649</v>
      </c>
      <c r="F7" s="63" t="s">
        <v>191</v>
      </c>
      <c r="G7" s="63"/>
    </row>
    <row r="8" spans="2:7" ht="25.5">
      <c r="B8" s="1302" t="s">
        <v>188</v>
      </c>
      <c r="C8" s="15">
        <v>0</v>
      </c>
      <c r="D8" s="15">
        <v>0</v>
      </c>
      <c r="E8" s="60">
        <v>1</v>
      </c>
      <c r="F8" s="63" t="s">
        <v>194</v>
      </c>
      <c r="G8" s="63"/>
    </row>
    <row r="9" spans="2:7" ht="25.5">
      <c r="B9" s="1302" t="s">
        <v>195</v>
      </c>
      <c r="C9" s="15">
        <f>'Calc-MEAV'!D6</f>
        <v>0.4682154974447662</v>
      </c>
      <c r="D9" s="15">
        <f>'Calc-MEAV'!D7</f>
        <v>0.1443110720726154</v>
      </c>
      <c r="E9" s="60">
        <f>'Calc-MEAV'!D8+'Calc-MEAV'!D9</f>
        <v>0.3874734304826183</v>
      </c>
      <c r="F9" s="262" t="s">
        <v>88</v>
      </c>
      <c r="G9" s="262"/>
    </row>
    <row r="10" spans="2:7" ht="12.75">
      <c r="B10" s="1302" t="s">
        <v>364</v>
      </c>
      <c r="C10" s="15">
        <v>0</v>
      </c>
      <c r="D10" s="15">
        <v>0</v>
      </c>
      <c r="E10" s="60">
        <v>1</v>
      </c>
      <c r="F10" s="63" t="s">
        <v>194</v>
      </c>
      <c r="G10" s="63"/>
    </row>
    <row r="11" spans="2:7" ht="12.75">
      <c r="B11" s="1302" t="s">
        <v>238</v>
      </c>
      <c r="C11" s="15">
        <v>1</v>
      </c>
      <c r="D11" s="15">
        <v>0</v>
      </c>
      <c r="E11" s="60">
        <v>0</v>
      </c>
      <c r="F11" s="63" t="s">
        <v>194</v>
      </c>
      <c r="G11" s="63"/>
    </row>
    <row r="12" spans="2:7" ht="12.75">
      <c r="B12" s="1303" t="s">
        <v>239</v>
      </c>
      <c r="C12" s="17">
        <v>0</v>
      </c>
      <c r="D12" s="17">
        <v>1</v>
      </c>
      <c r="E12" s="61">
        <v>0</v>
      </c>
      <c r="F12" s="248" t="s">
        <v>194</v>
      </c>
      <c r="G12" s="63"/>
    </row>
    <row r="14" s="1267" customFormat="1" ht="12.75">
      <c r="A14" s="1267" t="s">
        <v>97</v>
      </c>
    </row>
    <row r="16" spans="2:8" ht="12.75">
      <c r="B16" s="1299" t="s">
        <v>189</v>
      </c>
      <c r="C16" s="1299" t="s">
        <v>875</v>
      </c>
      <c r="D16" s="1299" t="s">
        <v>438</v>
      </c>
      <c r="E16" s="1299" t="s">
        <v>874</v>
      </c>
      <c r="F16" s="1299" t="s">
        <v>880</v>
      </c>
      <c r="G16" s="1304" t="s">
        <v>190</v>
      </c>
      <c r="H16" s="1301"/>
    </row>
    <row r="17" spans="2:8" ht="54" customHeight="1">
      <c r="B17" s="1302" t="s">
        <v>121</v>
      </c>
      <c r="C17" s="14">
        <f>'Calc-Net capex'!H6</f>
        <v>0.13596332621236557</v>
      </c>
      <c r="D17" s="14">
        <f>'Calc-Net capex'!H7</f>
        <v>0.05974950683893988</v>
      </c>
      <c r="E17" s="14">
        <f>'Calc-Net capex'!H8</f>
        <v>0.27202086792538993</v>
      </c>
      <c r="F17" s="58">
        <f>'Calc-Net capex'!$D$8+'Calc-Net capex'!$D$9</f>
        <v>0.5322662990233047</v>
      </c>
      <c r="G17" s="62" t="s">
        <v>155</v>
      </c>
      <c r="H17" s="262"/>
    </row>
    <row r="18" spans="2:8" ht="12.75">
      <c r="B18" s="1302" t="s">
        <v>315</v>
      </c>
      <c r="C18" s="16">
        <v>1</v>
      </c>
      <c r="D18" s="16">
        <v>0</v>
      </c>
      <c r="E18" s="16">
        <v>0</v>
      </c>
      <c r="F18" s="59">
        <v>0</v>
      </c>
      <c r="G18" s="63" t="s">
        <v>194</v>
      </c>
      <c r="H18" s="63"/>
    </row>
    <row r="19" spans="2:8" ht="12.75">
      <c r="B19" s="1302" t="s">
        <v>314</v>
      </c>
      <c r="C19" s="15">
        <f>'RRP 5.1'!$G$64/'RRP 5.1'!$G$65</f>
        <v>0.5364633252522975</v>
      </c>
      <c r="D19" s="15">
        <v>0</v>
      </c>
      <c r="E19" s="15">
        <f>'RRP 5.1'!$G$63/'RRP 5.1'!$G$65</f>
        <v>0.3647882956531544</v>
      </c>
      <c r="F19" s="60">
        <f>('RRP 5.1'!$G$61+'RRP 5.1'!$G$62)/'RRP 5.1'!$G$65</f>
        <v>0.09874837909454812</v>
      </c>
      <c r="G19" s="63" t="s">
        <v>191</v>
      </c>
      <c r="H19" s="63"/>
    </row>
    <row r="20" spans="2:8" ht="12.75">
      <c r="B20" s="1302" t="s">
        <v>313</v>
      </c>
      <c r="C20" s="15">
        <f>0/'RRP 5.1'!$G$73</f>
        <v>0</v>
      </c>
      <c r="D20" s="15">
        <v>0</v>
      </c>
      <c r="E20" s="15">
        <f>('RRP 5.1'!$G$71+'RRP 5.1'!$G$72)/'RRP 5.1'!$G$73</f>
        <v>0.9902549943154133</v>
      </c>
      <c r="F20" s="60">
        <f>('RRP 5.1'!$G$68+'RRP 5.1'!$G$69+'RRP 5.1'!$G$70)/'RRP 5.1'!$G$73</f>
        <v>0.009745005684586649</v>
      </c>
      <c r="G20" s="63" t="s">
        <v>191</v>
      </c>
      <c r="H20" s="63"/>
    </row>
    <row r="21" spans="2:8" ht="25.5">
      <c r="B21" s="1302" t="s">
        <v>188</v>
      </c>
      <c r="C21" s="15">
        <v>0</v>
      </c>
      <c r="D21" s="15">
        <v>0</v>
      </c>
      <c r="E21" s="15">
        <v>0</v>
      </c>
      <c r="F21" s="60">
        <v>1</v>
      </c>
      <c r="G21" s="63" t="s">
        <v>194</v>
      </c>
      <c r="H21" s="63"/>
    </row>
    <row r="22" spans="2:8" ht="59.25" customHeight="1">
      <c r="B22" s="1302" t="s">
        <v>195</v>
      </c>
      <c r="C22" s="1305">
        <f>'Calc-MEAV'!H6</f>
        <v>0.4682154974447662</v>
      </c>
      <c r="D22" s="1305">
        <f>'Calc-MEAV'!H7</f>
        <v>0.03400429288224294</v>
      </c>
      <c r="E22" s="1305">
        <f>'Calc-MEAV'!H8</f>
        <v>0.11030677919037249</v>
      </c>
      <c r="F22" s="1305">
        <f>'Calc-MEAV'!H9+'Calc-MEAV'!H10</f>
        <v>0.3874734304826183</v>
      </c>
      <c r="G22" s="64" t="s">
        <v>88</v>
      </c>
      <c r="H22" s="262"/>
    </row>
    <row r="23" spans="2:8" ht="55.5" customHeight="1">
      <c r="B23" s="1302" t="s">
        <v>183</v>
      </c>
      <c r="C23" s="1305">
        <f>'Calc-MEAV'!L6</f>
        <v>0.31576527136969507</v>
      </c>
      <c r="D23" s="1305">
        <f>'Calc-MEAV'!L7</f>
        <v>0.06249132268094535</v>
      </c>
      <c r="E23" s="1305">
        <f>'Calc-MEAV'!L8</f>
        <v>0.12319037124487284</v>
      </c>
      <c r="F23" s="1305">
        <f>'Calc-MEAV'!L9+'Calc-MEAV'!L10</f>
        <v>0.49855303470448675</v>
      </c>
      <c r="G23" s="64" t="s">
        <v>88</v>
      </c>
      <c r="H23" s="63"/>
    </row>
    <row r="24" spans="2:8" ht="58.5" customHeight="1">
      <c r="B24" s="1302" t="s">
        <v>132</v>
      </c>
      <c r="C24" s="1305">
        <f>'Calc-MEAV'!Q3</f>
        <v>0</v>
      </c>
      <c r="D24" s="1305">
        <f>'Calc-MEAV'!Q4</f>
        <v>0</v>
      </c>
      <c r="E24" s="1305" t="str">
        <f>'Calc-MEAV'!Q5</f>
        <v>% of Total</v>
      </c>
      <c r="F24" s="1305">
        <f>'Calc-MEAV'!Q6+'Calc-MEAV'!Q7</f>
        <v>0.26169031503703866</v>
      </c>
      <c r="G24" s="64" t="s">
        <v>88</v>
      </c>
      <c r="H24" s="63"/>
    </row>
    <row r="25" spans="2:8" ht="12.75">
      <c r="B25" s="1302" t="s">
        <v>364</v>
      </c>
      <c r="C25" s="1305">
        <v>0</v>
      </c>
      <c r="D25" s="1305">
        <v>0</v>
      </c>
      <c r="E25" s="1305">
        <v>0</v>
      </c>
      <c r="F25" s="1305">
        <v>1</v>
      </c>
      <c r="G25" s="63" t="s">
        <v>194</v>
      </c>
      <c r="H25" s="63"/>
    </row>
    <row r="26" spans="2:8" ht="12.75">
      <c r="B26" s="1302" t="s">
        <v>238</v>
      </c>
      <c r="C26" s="1305">
        <v>1</v>
      </c>
      <c r="D26" s="1305">
        <v>0</v>
      </c>
      <c r="E26" s="1305">
        <v>0</v>
      </c>
      <c r="F26" s="1305">
        <v>0</v>
      </c>
      <c r="G26" s="63" t="s">
        <v>194</v>
      </c>
      <c r="H26" s="1301"/>
    </row>
    <row r="27" spans="2:8" ht="12.75">
      <c r="B27" s="1303" t="s">
        <v>239</v>
      </c>
      <c r="C27" s="1306">
        <v>0</v>
      </c>
      <c r="D27" s="1306">
        <v>0</v>
      </c>
      <c r="E27" s="1306">
        <v>1</v>
      </c>
      <c r="F27" s="1306">
        <v>0</v>
      </c>
      <c r="G27" s="129" t="s">
        <v>194</v>
      </c>
      <c r="H27" s="262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1307"/>
      <c r="C31" s="1308"/>
      <c r="D31" s="1308"/>
      <c r="E31" s="1308"/>
      <c r="F31" s="247"/>
    </row>
    <row r="32" spans="2:6" ht="12.75">
      <c r="B32" s="1307"/>
      <c r="C32" s="1308"/>
      <c r="D32" s="1308"/>
      <c r="E32" s="1308"/>
      <c r="F32" s="247"/>
    </row>
    <row r="33" spans="2:6" ht="12.75">
      <c r="B33" s="1307"/>
      <c r="C33" s="1308"/>
      <c r="D33" s="1308"/>
      <c r="E33" s="1308"/>
      <c r="F33" s="247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J17" sqref="J17:N164"/>
    </sheetView>
  </sheetViews>
  <sheetFormatPr defaultColWidth="11.42187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34" customWidth="1"/>
    <col min="12" max="12" width="21.8515625" style="34" customWidth="1"/>
    <col min="13" max="14" width="9.140625" style="34" customWidth="1"/>
    <col min="15" max="15" width="20.421875" style="34" customWidth="1"/>
    <col min="16" max="16" width="20.421875" style="0" customWidth="1"/>
    <col min="17" max="17" width="21.8515625" style="0" customWidth="1"/>
  </cols>
  <sheetData>
    <row r="1" spans="1:6" s="1" customFormat="1" ht="12.75">
      <c r="A1" s="1267" t="s">
        <v>443</v>
      </c>
      <c r="F1" s="857" t="s">
        <v>55</v>
      </c>
    </row>
    <row r="2" spans="10:15" ht="12.75">
      <c r="J2"/>
      <c r="K2"/>
      <c r="L2"/>
      <c r="M2"/>
      <c r="N2"/>
      <c r="O2"/>
    </row>
    <row r="3" spans="2:17" ht="26.25" customHeight="1">
      <c r="B3" s="1437" t="s">
        <v>436</v>
      </c>
      <c r="C3" s="1438"/>
      <c r="D3" s="1439"/>
      <c r="F3" s="1437" t="s">
        <v>437</v>
      </c>
      <c r="G3" s="1438"/>
      <c r="H3" s="1439"/>
      <c r="J3" s="1437" t="s">
        <v>163</v>
      </c>
      <c r="K3" s="1438"/>
      <c r="L3" s="1439"/>
      <c r="M3"/>
      <c r="N3"/>
      <c r="O3" s="1437" t="s">
        <v>164</v>
      </c>
      <c r="P3" s="1438"/>
      <c r="Q3" s="1439"/>
    </row>
    <row r="4" spans="2:17" ht="27.75" customHeight="1">
      <c r="B4" s="1440" t="s">
        <v>165</v>
      </c>
      <c r="C4" s="1441"/>
      <c r="D4" s="1442"/>
      <c r="F4" s="1440" t="s">
        <v>59</v>
      </c>
      <c r="G4" s="1441"/>
      <c r="H4" s="1442"/>
      <c r="J4" s="1440" t="s">
        <v>165</v>
      </c>
      <c r="K4" s="1441"/>
      <c r="L4" s="1442"/>
      <c r="M4"/>
      <c r="N4"/>
      <c r="O4" s="1440" t="s">
        <v>165</v>
      </c>
      <c r="P4" s="1441"/>
      <c r="Q4" s="1442"/>
    </row>
    <row r="5" spans="2:17" ht="12.75">
      <c r="B5" s="6"/>
      <c r="C5" s="1278" t="s">
        <v>849</v>
      </c>
      <c r="D5" s="1270" t="s">
        <v>120</v>
      </c>
      <c r="F5" s="6"/>
      <c r="G5" s="1278" t="s">
        <v>849</v>
      </c>
      <c r="H5" s="1270" t="s">
        <v>120</v>
      </c>
      <c r="J5" s="6"/>
      <c r="K5" s="1278" t="s">
        <v>849</v>
      </c>
      <c r="L5" s="1270" t="s">
        <v>120</v>
      </c>
      <c r="M5"/>
      <c r="N5"/>
      <c r="O5" s="6"/>
      <c r="P5" s="1278" t="s">
        <v>849</v>
      </c>
      <c r="Q5" s="1270" t="s">
        <v>120</v>
      </c>
    </row>
    <row r="6" spans="2:17" ht="12.75">
      <c r="B6" s="1274" t="s">
        <v>875</v>
      </c>
      <c r="C6" s="53">
        <f>SUM(I20:I39)</f>
        <v>8538239.7638877</v>
      </c>
      <c r="D6" s="8">
        <f>C6/$C$10</f>
        <v>0.4682154974447662</v>
      </c>
      <c r="F6" s="1274" t="s">
        <v>875</v>
      </c>
      <c r="G6" s="53">
        <f>SUM(I20:I39)</f>
        <v>8538239.7638877</v>
      </c>
      <c r="H6" s="1279">
        <f>G6/$G$11</f>
        <v>0.4682154974447662</v>
      </c>
      <c r="J6" s="1274" t="s">
        <v>875</v>
      </c>
      <c r="K6" s="53">
        <f>SUM(I20:I39)-I21-I30</f>
        <v>4475251.93481726</v>
      </c>
      <c r="L6" s="8">
        <f>K6/$K$11</f>
        <v>0.31576527136969507</v>
      </c>
      <c r="M6"/>
      <c r="N6"/>
      <c r="O6" s="1274" t="s">
        <v>875</v>
      </c>
      <c r="P6" s="53">
        <f>(SUM(I20:I39)-I21-I30)*0.5</f>
        <v>2237625.96740863</v>
      </c>
      <c r="Q6" s="8">
        <f>P6/P$11</f>
        <v>0.18748293572267657</v>
      </c>
    </row>
    <row r="7" spans="2:17" ht="12.75">
      <c r="B7" s="1274" t="s">
        <v>874</v>
      </c>
      <c r="C7" s="54">
        <f>SUM(I42:I79)+SUM(I158:I163)+SUM(I153:I154)</f>
        <v>2631614.161991771</v>
      </c>
      <c r="D7" s="7">
        <f>C7/$C$10</f>
        <v>0.1443110720726154</v>
      </c>
      <c r="F7" s="1274" t="s">
        <v>438</v>
      </c>
      <c r="G7" s="54">
        <f>SUM(I62:I63)+SUM(I69:I70)+SUM(I75:I78)</f>
        <v>620092.2592578221</v>
      </c>
      <c r="H7" s="1280">
        <f>G7/$G$11</f>
        <v>0.03400429288224294</v>
      </c>
      <c r="J7" s="1274" t="s">
        <v>438</v>
      </c>
      <c r="K7" s="54">
        <f>SUM(I59:I72)+SUM(I75:I78)</f>
        <v>885671.8521453929</v>
      </c>
      <c r="L7" s="7">
        <f>K7/$K$11</f>
        <v>0.06249132268094535</v>
      </c>
      <c r="M7"/>
      <c r="N7"/>
      <c r="O7" s="1274" t="s">
        <v>438</v>
      </c>
      <c r="P7" s="54">
        <f>SUM(I59:I72)+SUM(I75:I78)</f>
        <v>885671.8521453929</v>
      </c>
      <c r="Q7" s="7">
        <f>P7/P$11</f>
        <v>0.07420737931436208</v>
      </c>
    </row>
    <row r="8" spans="2:17" ht="12.75">
      <c r="B8" s="1274" t="s">
        <v>880</v>
      </c>
      <c r="C8" s="54">
        <f>SUM(I81:I120)+SUM(I149:I150)</f>
        <v>1708721.075527089</v>
      </c>
      <c r="D8" s="7">
        <f>C8/$C$10</f>
        <v>0.09370194682937633</v>
      </c>
      <c r="F8" s="1274" t="s">
        <v>874</v>
      </c>
      <c r="G8" s="54">
        <f>SUM(I42:I56)+SUM(I59:I61)+SUM(I64:I68)+SUM(I71:I72)+SUM(I158:I163)+SUM(I153:I154)</f>
        <v>2011521.902733949</v>
      </c>
      <c r="H8" s="1280">
        <f>G8/$G$11</f>
        <v>0.11030677919037249</v>
      </c>
      <c r="J8" s="1274" t="s">
        <v>874</v>
      </c>
      <c r="K8" s="54">
        <f>SUM(I42:I56)+SUM(I158:I163)+SUM(I153:I154)</f>
        <v>1745942.309846378</v>
      </c>
      <c r="L8" s="7">
        <f>K8/$K$11</f>
        <v>0.12319037124487284</v>
      </c>
      <c r="M8"/>
      <c r="N8"/>
      <c r="O8" s="1274" t="s">
        <v>874</v>
      </c>
      <c r="P8" s="54">
        <f>SUM(I42:I56)+SUM(I158:I163)+SUM(I153:I154)</f>
        <v>1745942.309846378</v>
      </c>
      <c r="Q8" s="7">
        <f>P8/P$11</f>
        <v>0.146286463698628</v>
      </c>
    </row>
    <row r="9" spans="2:17" ht="12.75">
      <c r="B9" s="1275" t="s">
        <v>208</v>
      </c>
      <c r="C9" s="55">
        <f>SUM(I121:I146)</f>
        <v>5357130.161032934</v>
      </c>
      <c r="D9" s="9">
        <f>C9/$C$10</f>
        <v>0.29377148365324196</v>
      </c>
      <c r="E9" s="946" t="s">
        <v>333</v>
      </c>
      <c r="F9" s="1274" t="s">
        <v>880</v>
      </c>
      <c r="G9" s="54">
        <f>SUM(I81:I120)+SUM(I149:I150)</f>
        <v>1708721.075527089</v>
      </c>
      <c r="H9" s="1280">
        <f>G9/$G$11</f>
        <v>0.09370194682937633</v>
      </c>
      <c r="I9" s="946"/>
      <c r="J9" s="1274" t="s">
        <v>880</v>
      </c>
      <c r="K9" s="54">
        <f>SUM(I81:I120)+SUM(I149:I150)</f>
        <v>1708721.075527089</v>
      </c>
      <c r="L9" s="7">
        <f>K9/$K$11</f>
        <v>0.12056411168971659</v>
      </c>
      <c r="M9"/>
      <c r="N9"/>
      <c r="O9" s="1274" t="s">
        <v>880</v>
      </c>
      <c r="P9" s="54">
        <f>SUM(I81:I120)+SUM(I149:I150)</f>
        <v>1708721.075527089</v>
      </c>
      <c r="Q9" s="7">
        <f>P9/P$11</f>
        <v>0.14316782529210134</v>
      </c>
    </row>
    <row r="10" spans="2:18" ht="12.75">
      <c r="B10" s="1281" t="s">
        <v>881</v>
      </c>
      <c r="C10" s="56">
        <f>SUM(C6:C9)</f>
        <v>18235705.162439495</v>
      </c>
      <c r="D10" s="57">
        <f>SUM(D6:D9)</f>
        <v>0.9999999999999998</v>
      </c>
      <c r="E10" t="str">
        <f>IF(C10=$I$164,"OK","error")</f>
        <v>OK</v>
      </c>
      <c r="F10" s="1275" t="s">
        <v>208</v>
      </c>
      <c r="G10" s="55">
        <f>SUM(I121:I146)</f>
        <v>5357130.161032934</v>
      </c>
      <c r="H10" s="1282">
        <f>G10/$G$11</f>
        <v>0.29377148365324196</v>
      </c>
      <c r="I10" s="946" t="s">
        <v>333</v>
      </c>
      <c r="J10" s="1275" t="s">
        <v>208</v>
      </c>
      <c r="K10" s="55">
        <f>SUM(I121:I146)</f>
        <v>5357130.161032934</v>
      </c>
      <c r="L10" s="9">
        <f>K10/$K$11</f>
        <v>0.37798892301477016</v>
      </c>
      <c r="M10" s="946" t="s">
        <v>333</v>
      </c>
      <c r="N10"/>
      <c r="O10" s="1275" t="s">
        <v>208</v>
      </c>
      <c r="P10" s="55">
        <f>SUM(I121:I146)</f>
        <v>5357130.161032934</v>
      </c>
      <c r="Q10" s="9">
        <f>P10/P$11</f>
        <v>0.44885539597223206</v>
      </c>
      <c r="R10" s="946" t="s">
        <v>333</v>
      </c>
    </row>
    <row r="11" spans="2:18" ht="12.75">
      <c r="B11" s="1283"/>
      <c r="C11" s="51"/>
      <c r="D11" s="52"/>
      <c r="F11" s="1281" t="s">
        <v>881</v>
      </c>
      <c r="G11" s="56">
        <f>SUM(G6:G10)</f>
        <v>18235705.162439495</v>
      </c>
      <c r="H11" s="57">
        <f>SUM(H6:H10)</f>
        <v>0.9999999999999998</v>
      </c>
      <c r="I11" t="str">
        <f>IF(G11=$I$164,"OK","error")</f>
        <v>OK</v>
      </c>
      <c r="J11" s="1281" t="s">
        <v>881</v>
      </c>
      <c r="K11" s="56">
        <f>SUM(K6:K10)</f>
        <v>14172717.333369054</v>
      </c>
      <c r="L11" s="57">
        <f>SUM(L6:L10)</f>
        <v>1</v>
      </c>
      <c r="M11" t="str">
        <f>IF(K11=($I$164-I21-I30),"OK","error")</f>
        <v>OK</v>
      </c>
      <c r="N11"/>
      <c r="O11" s="1281" t="s">
        <v>881</v>
      </c>
      <c r="P11" s="56">
        <f>SUM(P6:P10)</f>
        <v>11935091.365960423</v>
      </c>
      <c r="Q11" s="9">
        <f>SUM(Q6:Q10)</f>
        <v>1</v>
      </c>
      <c r="R11" t="str">
        <f>IF(P11=($I$164-I21-I30-(SUM(I20:I39)-I21-I30)*0.5),"OK","error")</f>
        <v>OK</v>
      </c>
    </row>
    <row r="12" spans="2:15" ht="12.75">
      <c r="B12" s="1283"/>
      <c r="C12" s="51"/>
      <c r="D12" s="52"/>
      <c r="J12"/>
      <c r="K12"/>
      <c r="L12"/>
      <c r="M12"/>
      <c r="N12"/>
      <c r="O12"/>
    </row>
    <row r="13" spans="2:15" ht="12.75">
      <c r="B13" s="1273"/>
      <c r="C13" s="51"/>
      <c r="D13" s="52"/>
      <c r="J13"/>
      <c r="K13"/>
      <c r="L13"/>
      <c r="M13"/>
      <c r="N13"/>
      <c r="O13"/>
    </row>
    <row r="14" s="1" customFormat="1" ht="12" customHeight="1">
      <c r="A14" s="1267" t="s">
        <v>467</v>
      </c>
    </row>
    <row r="15" ht="12.75"/>
    <row r="16" spans="1:15" s="18" customFormat="1" ht="25.5">
      <c r="A16" s="28"/>
      <c r="B16" s="19"/>
      <c r="C16" s="29" t="s">
        <v>220</v>
      </c>
      <c r="D16" s="28" t="s">
        <v>531</v>
      </c>
      <c r="E16" s="1284" t="s">
        <v>610</v>
      </c>
      <c r="F16" s="1284"/>
      <c r="G16" s="1284" t="s">
        <v>468</v>
      </c>
      <c r="H16" s="1284" t="s">
        <v>706</v>
      </c>
      <c r="I16" s="1284" t="s">
        <v>442</v>
      </c>
      <c r="J16" s="35"/>
      <c r="K16" s="30"/>
      <c r="L16" s="30"/>
      <c r="M16" s="30"/>
      <c r="N16" s="36"/>
      <c r="O16" s="37"/>
    </row>
    <row r="17" spans="1:15" ht="63.75">
      <c r="A17" s="3"/>
      <c r="B17" s="13"/>
      <c r="C17" s="20"/>
      <c r="D17" s="3"/>
      <c r="E17" s="27" t="s">
        <v>273</v>
      </c>
      <c r="F17" s="27" t="s">
        <v>56</v>
      </c>
      <c r="G17" s="27" t="s">
        <v>572</v>
      </c>
      <c r="H17" s="27" t="s">
        <v>609</v>
      </c>
      <c r="I17" s="50" t="s">
        <v>627</v>
      </c>
      <c r="J17" t="s">
        <v>112</v>
      </c>
      <c r="K17" s="30"/>
      <c r="L17" s="30"/>
      <c r="M17" s="30"/>
      <c r="N17" s="30"/>
      <c r="O17" s="38"/>
    </row>
    <row r="18" spans="1:15" ht="12.75">
      <c r="A18" s="3" t="s">
        <v>166</v>
      </c>
      <c r="B18" s="13"/>
      <c r="C18" s="20"/>
      <c r="D18" s="3"/>
      <c r="E18" s="3"/>
      <c r="F18" s="20"/>
      <c r="G18" s="20"/>
      <c r="H18" s="20"/>
      <c r="I18" s="20"/>
      <c r="J18"/>
      <c r="K18" s="31"/>
      <c r="L18" t="s">
        <v>875</v>
      </c>
      <c r="M18" s="1371">
        <f>SUMIF(J:J,L18,I:I)</f>
        <v>8538239.7638877</v>
      </c>
      <c r="N18" s="1372">
        <f>M18/M$25</f>
        <v>0.4682154974447662</v>
      </c>
      <c r="O18" s="40"/>
    </row>
    <row r="19" spans="1:15" ht="12.75">
      <c r="A19" s="26"/>
      <c r="B19" s="21" t="s">
        <v>65</v>
      </c>
      <c r="C19" s="22"/>
      <c r="D19" s="26"/>
      <c r="E19" s="26"/>
      <c r="F19" s="22"/>
      <c r="G19" s="22"/>
      <c r="H19" s="22"/>
      <c r="I19" s="22"/>
      <c r="J19" t="s">
        <v>875</v>
      </c>
      <c r="K19" s="32"/>
      <c r="L19" t="s">
        <v>367</v>
      </c>
      <c r="M19" s="1371">
        <f aca="true" t="shared" si="0" ref="M19:M24">SUMIF(J$1:J$65536,L19,I$1:I$65536)</f>
        <v>760542.3492578221</v>
      </c>
      <c r="N19" s="1372">
        <f aca="true" t="shared" si="1" ref="N19:N25">M19/M$25</f>
        <v>0.04170622098148027</v>
      </c>
      <c r="O19" s="41"/>
    </row>
    <row r="20" spans="1:15" ht="12.75">
      <c r="A20" s="26"/>
      <c r="B20" s="21"/>
      <c r="C20" s="22" t="s">
        <v>167</v>
      </c>
      <c r="D20" s="26" t="s">
        <v>18</v>
      </c>
      <c r="E20" s="1285">
        <f>IF(ISNUMBER('FBPQ C2'!K12),'FBPQ C2'!K12,IF(ISNUMBER('FBPQ C2'!I12),'FBPQ C2'!I12,""))</f>
        <v>39.50991010706953</v>
      </c>
      <c r="F20" s="1286" t="s">
        <v>58</v>
      </c>
      <c r="G20" s="1286">
        <f aca="true" t="shared" si="2" ref="G20:G83">IF(ISNUMBER(E20),E20,IF(H20&gt;0,F20," "))</f>
        <v>39.50991010706953</v>
      </c>
      <c r="H20" s="1287">
        <f>IF(ISBLANK('FBPQ T4'!E12)," ",'FBPQ T4'!AE12)</f>
        <v>5011.7</v>
      </c>
      <c r="I20" s="1288">
        <f>IF(ISERROR(G20*H20)," ",G20*H20)</f>
        <v>198011.81648360036</v>
      </c>
      <c r="J20" t="s">
        <v>875</v>
      </c>
      <c r="K20" s="32"/>
      <c r="L20" t="s">
        <v>874</v>
      </c>
      <c r="M20" s="1371">
        <f t="shared" si="0"/>
        <v>1624509.0141403514</v>
      </c>
      <c r="N20" s="1372">
        <f t="shared" si="1"/>
        <v>0.08908397013823136</v>
      </c>
      <c r="O20" s="41"/>
    </row>
    <row r="21" spans="1:15" ht="12.75">
      <c r="A21" s="26"/>
      <c r="B21" s="21"/>
      <c r="C21" s="22" t="s">
        <v>168</v>
      </c>
      <c r="D21" s="26" t="s">
        <v>360</v>
      </c>
      <c r="E21" s="1285">
        <f>IF(ISNUMBER('FBPQ C2'!K13),'FBPQ C2'!K13,IF(ISNUMBER('FBPQ C2'!I13),'FBPQ C2'!I13,""))</f>
        <v>0.4818281720374334</v>
      </c>
      <c r="F21" s="1286" t="s">
        <v>58</v>
      </c>
      <c r="G21" s="1286">
        <f t="shared" si="2"/>
        <v>0.4818281720374334</v>
      </c>
      <c r="H21" s="1287">
        <f>IF(ISBLANK('FBPQ T4'!E13)," ",'FBPQ T4'!AE13)</f>
        <v>124564</v>
      </c>
      <c r="I21" s="1288">
        <f aca="true" t="shared" si="3" ref="I21:I84">IF(ISERROR(G21*H21)," ",G21*H21)</f>
        <v>60018.44442167085</v>
      </c>
      <c r="J21" t="s">
        <v>875</v>
      </c>
      <c r="K21" s="32"/>
      <c r="L21" t="s">
        <v>83</v>
      </c>
      <c r="M21" s="1371">
        <f t="shared" si="0"/>
        <v>1031189.4535040611</v>
      </c>
      <c r="N21" s="1372">
        <f t="shared" si="1"/>
        <v>0.0565478244092269</v>
      </c>
      <c r="O21" s="43"/>
    </row>
    <row r="22" spans="1:15" ht="12.75">
      <c r="A22" s="26"/>
      <c r="B22" s="21"/>
      <c r="C22" s="22"/>
      <c r="D22" s="26"/>
      <c r="E22" s="1285">
        <f>IF(ISNUMBER('FBPQ C2'!K14),'FBPQ C2'!K14,IF(ISNUMBER('FBPQ C2'!I14),'FBPQ C2'!I14,""))</f>
      </c>
      <c r="F22" s="1286"/>
      <c r="G22" s="1286">
        <f t="shared" si="2"/>
        <v>0</v>
      </c>
      <c r="H22" s="1287" t="str">
        <f>IF(ISBLANK('FBPQ T4'!E14)," ",'FBPQ T4'!AE14)</f>
        <v> </v>
      </c>
      <c r="I22" s="1288" t="str">
        <f t="shared" si="3"/>
        <v> </v>
      </c>
      <c r="J22" t="s">
        <v>875</v>
      </c>
      <c r="K22" s="32"/>
      <c r="L22" t="s">
        <v>880</v>
      </c>
      <c r="M22" s="1371">
        <f t="shared" si="0"/>
        <v>720647.1727984968</v>
      </c>
      <c r="N22" s="1372">
        <f t="shared" si="1"/>
        <v>0.03951847029654935</v>
      </c>
      <c r="O22" s="43"/>
    </row>
    <row r="23" spans="1:15" ht="12.75">
      <c r="A23" s="26"/>
      <c r="B23" s="21" t="s">
        <v>361</v>
      </c>
      <c r="C23" s="22"/>
      <c r="D23" s="26"/>
      <c r="E23" s="1285">
        <f>IF(ISNUMBER('FBPQ C2'!K15),'FBPQ C2'!K15,IF(ISNUMBER('FBPQ C2'!I15),'FBPQ C2'!I15,""))</f>
      </c>
      <c r="F23" s="1286"/>
      <c r="G23" s="1286">
        <f t="shared" si="2"/>
        <v>0</v>
      </c>
      <c r="H23" s="1287" t="str">
        <f>IF(ISBLANK('FBPQ T4'!E15)," ",'FBPQ T4'!AE15)</f>
        <v> </v>
      </c>
      <c r="I23" s="1288" t="str">
        <f t="shared" si="3"/>
        <v> </v>
      </c>
      <c r="J23" t="s">
        <v>875</v>
      </c>
      <c r="K23" s="32"/>
      <c r="L23" t="s">
        <v>4</v>
      </c>
      <c r="M23" s="1371">
        <f t="shared" si="0"/>
        <v>611697.0056452849</v>
      </c>
      <c r="N23" s="1372">
        <f t="shared" si="1"/>
        <v>0.033543918384094706</v>
      </c>
      <c r="O23" s="41"/>
    </row>
    <row r="24" spans="1:15" ht="12.75">
      <c r="A24" s="26"/>
      <c r="B24" s="21"/>
      <c r="C24" s="22" t="s">
        <v>362</v>
      </c>
      <c r="D24" s="26" t="s">
        <v>360</v>
      </c>
      <c r="E24" s="1289">
        <f>IF(ISNUMBER('FBPQ C2'!K16),'FBPQ C2'!K16,IF(ISNUMBER('FBPQ C2'!I16),'FBPQ C2'!I16,""))</f>
        <v>0</v>
      </c>
      <c r="F24" s="1286" t="s">
        <v>58</v>
      </c>
      <c r="G24" s="1286">
        <f t="shared" si="2"/>
        <v>0</v>
      </c>
      <c r="H24" s="1287">
        <f>IF(ISBLANK('FBPQ T4'!E16)," ",'FBPQ T4'!AE16)</f>
        <v>121993</v>
      </c>
      <c r="I24" s="1288">
        <f t="shared" si="3"/>
        <v>0</v>
      </c>
      <c r="J24" t="s">
        <v>875</v>
      </c>
      <c r="K24" s="32"/>
      <c r="L24" t="s">
        <v>878</v>
      </c>
      <c r="M24" s="1371">
        <f t="shared" si="0"/>
        <v>4948880.403205778</v>
      </c>
      <c r="N24" s="1372">
        <f t="shared" si="1"/>
        <v>0.27138409834565114</v>
      </c>
      <c r="O24" s="43"/>
    </row>
    <row r="25" spans="1:15" ht="12.75">
      <c r="A25" s="26"/>
      <c r="B25" s="21"/>
      <c r="C25" s="22"/>
      <c r="D25" s="26"/>
      <c r="E25" s="1285">
        <f>IF(ISNUMBER('FBPQ C2'!K17),'FBPQ C2'!K17,IF(ISNUMBER('FBPQ C2'!I17),'FBPQ C2'!I17,""))</f>
      </c>
      <c r="F25" s="1286"/>
      <c r="G25" s="1286">
        <f t="shared" si="2"/>
        <v>0</v>
      </c>
      <c r="H25" s="1287" t="str">
        <f>IF(ISBLANK('FBPQ T4'!E17)," ",'FBPQ T4'!AE17)</f>
        <v> </v>
      </c>
      <c r="I25" s="1288" t="str">
        <f t="shared" si="3"/>
        <v> </v>
      </c>
      <c r="J25" t="s">
        <v>875</v>
      </c>
      <c r="K25" s="32"/>
      <c r="L25" t="s">
        <v>113</v>
      </c>
      <c r="M25" s="1371">
        <f>SUM(M18:M24)</f>
        <v>18235705.162439495</v>
      </c>
      <c r="N25" s="1372">
        <f t="shared" si="1"/>
        <v>1</v>
      </c>
      <c r="O25" s="43"/>
    </row>
    <row r="26" spans="1:15" ht="12.75">
      <c r="A26" s="26"/>
      <c r="B26" s="21" t="s">
        <v>612</v>
      </c>
      <c r="C26" s="22"/>
      <c r="D26" s="26"/>
      <c r="E26" s="1285">
        <f>IF(ISNUMBER('FBPQ C2'!K18),'FBPQ C2'!K18,IF(ISNUMBER('FBPQ C2'!I18),'FBPQ C2'!I18,""))</f>
      </c>
      <c r="F26" s="1286"/>
      <c r="G26" s="1286">
        <f t="shared" si="2"/>
        <v>0</v>
      </c>
      <c r="H26" s="1287" t="str">
        <f>IF(ISBLANK('FBPQ T4'!E18)," ",'FBPQ T4'!AE18)</f>
        <v> </v>
      </c>
      <c r="I26" s="1288" t="str">
        <f t="shared" si="3"/>
        <v> </v>
      </c>
      <c r="J26" t="s">
        <v>875</v>
      </c>
      <c r="K26" s="32"/>
      <c r="L26"/>
      <c r="M26" s="1371"/>
      <c r="N26" s="1372"/>
      <c r="O26" s="41"/>
    </row>
    <row r="27" spans="1:15" ht="12.75">
      <c r="A27" s="26"/>
      <c r="B27" s="21"/>
      <c r="C27" s="22" t="s">
        <v>545</v>
      </c>
      <c r="D27" s="26" t="s">
        <v>18</v>
      </c>
      <c r="E27" s="1285">
        <f>IF(ISNUMBER('FBPQ C2'!K19),'FBPQ C2'!K19,IF(ISNUMBER('FBPQ C2'!I19),'FBPQ C2'!I19,""))</f>
        <v>120.45704300935833</v>
      </c>
      <c r="F27" s="1286" t="s">
        <v>58</v>
      </c>
      <c r="G27" s="1286">
        <f t="shared" si="2"/>
        <v>120.45704300935833</v>
      </c>
      <c r="H27" s="1287">
        <f>IF(ISBLANK('FBPQ T4'!E19)," ",'FBPQ T4'!AE19)</f>
        <v>11</v>
      </c>
      <c r="I27" s="1288">
        <f t="shared" si="3"/>
        <v>1325.0274731029417</v>
      </c>
      <c r="J27" t="s">
        <v>875</v>
      </c>
      <c r="K27" s="32"/>
      <c r="L27"/>
      <c r="M27" s="1371"/>
      <c r="N27" s="1372"/>
      <c r="O27" s="41"/>
    </row>
    <row r="28" spans="1:15" ht="12.75">
      <c r="A28" s="26"/>
      <c r="B28" s="21"/>
      <c r="C28" s="22" t="s">
        <v>213</v>
      </c>
      <c r="D28" s="26" t="s">
        <v>18</v>
      </c>
      <c r="E28" s="1285">
        <f>IF(ISNUMBER('FBPQ C2'!K20),'FBPQ C2'!K20,IF(ISNUMBER('FBPQ C2'!I20),'FBPQ C2'!I20,""))</f>
        <v>120.45704300935833</v>
      </c>
      <c r="F28" s="1286" t="s">
        <v>58</v>
      </c>
      <c r="G28" s="1286">
        <f t="shared" si="2"/>
        <v>120.45704300935833</v>
      </c>
      <c r="H28" s="1287">
        <f>IF(ISBLANK('FBPQ T4'!E20)," ",'FBPQ T4'!AE20)</f>
        <v>15211.5</v>
      </c>
      <c r="I28" s="1288">
        <f t="shared" si="3"/>
        <v>1832332.3097368542</v>
      </c>
      <c r="J28" t="s">
        <v>875</v>
      </c>
      <c r="K28" s="32"/>
      <c r="L28" t="s">
        <v>83</v>
      </c>
      <c r="M28" s="1371">
        <f>M21</f>
        <v>1031189.4535040611</v>
      </c>
      <c r="N28" s="1372">
        <f>M28/M$32</f>
        <v>0.14101901896510946</v>
      </c>
      <c r="O28" s="41"/>
    </row>
    <row r="29" spans="1:15" ht="12.75">
      <c r="A29" s="26"/>
      <c r="B29" s="21"/>
      <c r="C29" s="22" t="s">
        <v>214</v>
      </c>
      <c r="D29" s="26" t="s">
        <v>18</v>
      </c>
      <c r="E29" s="1285">
        <f>IF(ISNUMBER('FBPQ C2'!K21),'FBPQ C2'!K21,IF(ISNUMBER('FBPQ C2'!I21),'FBPQ C2'!I21,""))</f>
        <v>120.45704300935833</v>
      </c>
      <c r="F29" s="1286" t="s">
        <v>58</v>
      </c>
      <c r="G29" s="1286">
        <f t="shared" si="2"/>
        <v>120.45704300935833</v>
      </c>
      <c r="H29" s="1287">
        <f>IF(ISBLANK('FBPQ T4'!E21)," ",'FBPQ T4'!AE21)</f>
        <v>18317</v>
      </c>
      <c r="I29" s="1288">
        <f t="shared" si="3"/>
        <v>2206411.6568024163</v>
      </c>
      <c r="J29" t="s">
        <v>875</v>
      </c>
      <c r="K29" s="32"/>
      <c r="L29" t="s">
        <v>880</v>
      </c>
      <c r="M29" s="1371">
        <f>M22</f>
        <v>720647.1727984968</v>
      </c>
      <c r="N29" s="1372">
        <f>M29/M$32</f>
        <v>0.0985511992803013</v>
      </c>
      <c r="O29" s="41"/>
    </row>
    <row r="30" spans="1:15" ht="12.75">
      <c r="A30" s="26"/>
      <c r="B30" s="21"/>
      <c r="C30" s="22" t="s">
        <v>215</v>
      </c>
      <c r="D30" s="26" t="s">
        <v>360</v>
      </c>
      <c r="E30" s="1285">
        <f>IF(ISNUMBER('FBPQ C2'!K22),'FBPQ C2'!K22,IF(ISNUMBER('FBPQ C2'!I22),'FBPQ C2'!I22,""))</f>
        <v>1.6107756705297416</v>
      </c>
      <c r="F30" s="1286" t="s">
        <v>58</v>
      </c>
      <c r="G30" s="1286">
        <f t="shared" si="2"/>
        <v>1.6107756705297416</v>
      </c>
      <c r="H30" s="1287">
        <f>IF(ISBLANK('FBPQ T4'!E22)," ",'FBPQ T4'!AE22)</f>
        <v>2485119.1</v>
      </c>
      <c r="I30" s="1288">
        <f t="shared" si="3"/>
        <v>4002969.384648768</v>
      </c>
      <c r="J30" t="s">
        <v>875</v>
      </c>
      <c r="K30" s="32"/>
      <c r="L30" t="s">
        <v>4</v>
      </c>
      <c r="M30" s="1371">
        <f>M23</f>
        <v>611697.0056452849</v>
      </c>
      <c r="N30" s="1372">
        <f>M30/M$32</f>
        <v>0.08365185596775827</v>
      </c>
      <c r="O30" s="43"/>
    </row>
    <row r="31" spans="1:15" ht="12.75">
      <c r="A31" s="26"/>
      <c r="B31" s="21"/>
      <c r="C31" s="22"/>
      <c r="D31" s="26"/>
      <c r="E31" s="1285">
        <f>IF(ISNUMBER('FBPQ C2'!K23),'FBPQ C2'!K23,IF(ISNUMBER('FBPQ C2'!I23),'FBPQ C2'!I23,""))</f>
      </c>
      <c r="F31" s="1286"/>
      <c r="G31" s="1286">
        <f t="shared" si="2"/>
        <v>0</v>
      </c>
      <c r="H31" s="1287" t="str">
        <f>IF(ISBLANK('FBPQ T4'!E23)," ",'FBPQ T4'!AE23)</f>
        <v> </v>
      </c>
      <c r="I31" s="1288" t="str">
        <f t="shared" si="3"/>
        <v> </v>
      </c>
      <c r="J31" t="s">
        <v>875</v>
      </c>
      <c r="K31" s="32"/>
      <c r="L31" t="s">
        <v>878</v>
      </c>
      <c r="M31" s="1371">
        <f>M24</f>
        <v>4948880.403205778</v>
      </c>
      <c r="N31" s="1372">
        <f>M31/M$32</f>
        <v>0.6767779257868309</v>
      </c>
      <c r="O31" s="43"/>
    </row>
    <row r="32" spans="1:15" ht="12.75">
      <c r="A32" s="26"/>
      <c r="B32" s="21" t="s">
        <v>216</v>
      </c>
      <c r="C32" s="22"/>
      <c r="D32" s="26"/>
      <c r="E32" s="1285">
        <f>IF(ISNUMBER('FBPQ C2'!K24),'FBPQ C2'!K24,IF(ISNUMBER('FBPQ C2'!I24),'FBPQ C2'!I24,""))</f>
      </c>
      <c r="F32" s="1286"/>
      <c r="G32" s="1286">
        <f t="shared" si="2"/>
        <v>0</v>
      </c>
      <c r="H32" s="1287" t="str">
        <f>IF(ISBLANK('FBPQ T4'!E24)," ",'FBPQ T4'!AE24)</f>
        <v> </v>
      </c>
      <c r="I32" s="1288" t="str">
        <f t="shared" si="3"/>
        <v> </v>
      </c>
      <c r="J32" t="s">
        <v>875</v>
      </c>
      <c r="K32" s="32"/>
      <c r="L32" t="s">
        <v>114</v>
      </c>
      <c r="M32" s="1371">
        <f>SUM(M28:M31)</f>
        <v>7312414.035153622</v>
      </c>
      <c r="N32" s="1372">
        <f>M32/M$32</f>
        <v>1</v>
      </c>
      <c r="O32" s="41"/>
    </row>
    <row r="33" spans="1:15" ht="12.75">
      <c r="A33" s="26"/>
      <c r="B33" s="21"/>
      <c r="C33" s="22" t="s">
        <v>217</v>
      </c>
      <c r="D33" s="26" t="s">
        <v>360</v>
      </c>
      <c r="E33" s="1285">
        <f>IF(ISNUMBER('FBPQ C2'!K25),'FBPQ C2'!K25,IF(ISNUMBER('FBPQ C2'!I25),'FBPQ C2'!I25,""))</f>
        <v>5.420566935421125</v>
      </c>
      <c r="F33" s="1286" t="s">
        <v>58</v>
      </c>
      <c r="G33" s="1286">
        <f t="shared" si="2"/>
        <v>5.420566935421125</v>
      </c>
      <c r="H33" s="1287">
        <f>IF(ISBLANK('FBPQ T4'!E25)," ",'FBPQ T4'!AE25)</f>
        <v>9596</v>
      </c>
      <c r="I33" s="1288">
        <f t="shared" si="3"/>
        <v>52015.76031230112</v>
      </c>
      <c r="J33" t="s">
        <v>875</v>
      </c>
      <c r="K33" s="32"/>
      <c r="L33" s="33"/>
      <c r="M33" s="32"/>
      <c r="N33" s="42"/>
      <c r="O33" s="41"/>
    </row>
    <row r="34" spans="1:15" ht="12.75">
      <c r="A34" s="26"/>
      <c r="B34" s="21"/>
      <c r="C34" s="22" t="s">
        <v>218</v>
      </c>
      <c r="D34" s="26" t="s">
        <v>360</v>
      </c>
      <c r="E34" s="1285">
        <f>IF(ISNUMBER('FBPQ C2'!K26),'FBPQ C2'!K26,IF(ISNUMBER('FBPQ C2'!I26),'FBPQ C2'!I26,""))</f>
        <v>5.420566935421125</v>
      </c>
      <c r="F34" s="1286" t="s">
        <v>58</v>
      </c>
      <c r="G34" s="1286">
        <f t="shared" si="2"/>
        <v>5.420566935421125</v>
      </c>
      <c r="H34" s="1287">
        <f>IF(ISBLANK('FBPQ T4'!E26)," ",'FBPQ T4'!AE26)</f>
        <v>7772</v>
      </c>
      <c r="I34" s="1288">
        <f t="shared" si="3"/>
        <v>42128.64622209299</v>
      </c>
      <c r="J34" t="s">
        <v>875</v>
      </c>
      <c r="K34" s="32"/>
      <c r="L34" s="33"/>
      <c r="M34" s="32"/>
      <c r="N34" s="42"/>
      <c r="O34" s="41"/>
    </row>
    <row r="35" spans="1:15" ht="12.75">
      <c r="A35" s="26"/>
      <c r="B35" s="21"/>
      <c r="C35" s="22" t="s">
        <v>757</v>
      </c>
      <c r="D35" s="26" t="s">
        <v>360</v>
      </c>
      <c r="E35" s="1285">
        <f>IF(ISNUMBER('FBPQ C2'!K27),'FBPQ C2'!K27,IF(ISNUMBER('FBPQ C2'!I27),'FBPQ C2'!I27,""))</f>
        <v>5.420566935421125</v>
      </c>
      <c r="F35" s="1286" t="s">
        <v>58</v>
      </c>
      <c r="G35" s="1286">
        <f t="shared" si="2"/>
        <v>5.420566935421125</v>
      </c>
      <c r="H35" s="1287">
        <f>IF(ISBLANK('FBPQ T4'!E27)," ",'FBPQ T4'!AE27)</f>
        <v>2299</v>
      </c>
      <c r="I35" s="1288">
        <f t="shared" si="3"/>
        <v>12461.883384533168</v>
      </c>
      <c r="J35" t="s">
        <v>875</v>
      </c>
      <c r="K35" s="32"/>
      <c r="L35" s="33"/>
      <c r="M35" s="32"/>
      <c r="N35" s="42"/>
      <c r="O35" s="41"/>
    </row>
    <row r="36" spans="1:15" ht="12.75">
      <c r="A36" s="26"/>
      <c r="B36" s="21"/>
      <c r="C36" s="22" t="s">
        <v>758</v>
      </c>
      <c r="D36" s="26" t="s">
        <v>360</v>
      </c>
      <c r="E36" s="1285">
        <f>IF(ISNUMBER('FBPQ C2'!K28),'FBPQ C2'!K28,IF(ISNUMBER('FBPQ C2'!I28),'FBPQ C2'!I28,""))</f>
        <v>4.577367634355617</v>
      </c>
      <c r="F36" s="1286" t="s">
        <v>58</v>
      </c>
      <c r="G36" s="1286">
        <f t="shared" si="2"/>
        <v>4.577367634355617</v>
      </c>
      <c r="H36" s="1287">
        <f>IF(ISBLANK('FBPQ T4'!E28)," ",'FBPQ T4'!AE28)</f>
        <v>28524</v>
      </c>
      <c r="I36" s="1288">
        <f t="shared" si="3"/>
        <v>130564.83440235961</v>
      </c>
      <c r="J36" t="s">
        <v>875</v>
      </c>
      <c r="K36" s="32"/>
      <c r="L36" s="33"/>
      <c r="M36" s="32"/>
      <c r="N36" s="42"/>
      <c r="O36" s="44"/>
    </row>
    <row r="37" spans="1:15" ht="12.75">
      <c r="A37" s="26"/>
      <c r="B37" s="21"/>
      <c r="C37" s="22" t="s">
        <v>649</v>
      </c>
      <c r="D37" s="26" t="s">
        <v>360</v>
      </c>
      <c r="E37" s="1289">
        <v>0</v>
      </c>
      <c r="F37" s="1286" t="s">
        <v>58</v>
      </c>
      <c r="G37" s="1286">
        <f t="shared" si="2"/>
        <v>0</v>
      </c>
      <c r="H37" s="1287">
        <f>IF(ISBLANK('FBPQ T4'!E29)," ",'FBPQ T4'!AE29)</f>
        <v>22692</v>
      </c>
      <c r="I37" s="1288">
        <f t="shared" si="3"/>
        <v>0</v>
      </c>
      <c r="J37" t="s">
        <v>875</v>
      </c>
      <c r="K37" s="32"/>
      <c r="L37" s="33"/>
      <c r="M37" s="32"/>
      <c r="N37" s="42"/>
      <c r="O37" s="44"/>
    </row>
    <row r="38" spans="1:15" ht="12.75">
      <c r="A38" s="26"/>
      <c r="B38" s="21"/>
      <c r="C38" s="22" t="s">
        <v>650</v>
      </c>
      <c r="D38" s="26" t="s">
        <v>360</v>
      </c>
      <c r="E38" s="1285">
        <f>IF(ISNUMBER('FBPQ C2'!K30),'FBPQ C2'!K30,IF(ISNUMBER('FBPQ C2'!I30),'FBPQ C2'!I30,""))</f>
      </c>
      <c r="F38" s="1286" t="s">
        <v>58</v>
      </c>
      <c r="G38" s="1286" t="str">
        <f t="shared" si="2"/>
        <v> </v>
      </c>
      <c r="H38" s="1287">
        <f>IF(ISBLANK('FBPQ T4'!E30)," ",'FBPQ T4'!AE30)</f>
        <v>0</v>
      </c>
      <c r="I38" s="1288" t="str">
        <f t="shared" si="3"/>
        <v> </v>
      </c>
      <c r="J38" t="s">
        <v>875</v>
      </c>
      <c r="K38" s="32"/>
      <c r="L38" s="33"/>
      <c r="M38" s="32"/>
      <c r="N38" s="42"/>
      <c r="O38" s="43"/>
    </row>
    <row r="39" spans="1:15" ht="12.75">
      <c r="A39" s="26"/>
      <c r="B39" s="21"/>
      <c r="C39" s="22"/>
      <c r="D39" s="26"/>
      <c r="E39" s="1285">
        <f>IF(ISNUMBER('FBPQ C2'!K31),'FBPQ C2'!K31,IF(ISNUMBER('FBPQ C2'!I31),'FBPQ C2'!I31,""))</f>
      </c>
      <c r="F39" s="1286"/>
      <c r="G39" s="1286">
        <f t="shared" si="2"/>
        <v>0</v>
      </c>
      <c r="H39" s="1287" t="str">
        <f>IF(ISBLANK('FBPQ T4'!E31)," ",'FBPQ T4'!AE31)</f>
        <v> </v>
      </c>
      <c r="I39" s="1288" t="str">
        <f t="shared" si="3"/>
        <v> </v>
      </c>
      <c r="J39" t="s">
        <v>875</v>
      </c>
      <c r="K39" s="45"/>
      <c r="L39" s="45"/>
      <c r="M39" s="45"/>
      <c r="N39" s="46"/>
      <c r="O39" s="43"/>
    </row>
    <row r="40" spans="1:15" ht="12.75">
      <c r="A40" s="26" t="s">
        <v>651</v>
      </c>
      <c r="B40" s="21"/>
      <c r="C40" s="22"/>
      <c r="D40" s="26"/>
      <c r="E40" s="1285">
        <f>IF(ISNUMBER('FBPQ C2'!K32),'FBPQ C2'!K32,IF(ISNUMBER('FBPQ C2'!I32),'FBPQ C2'!I32,""))</f>
      </c>
      <c r="F40" s="1286"/>
      <c r="G40" s="1286">
        <f t="shared" si="2"/>
        <v>0</v>
      </c>
      <c r="H40" s="1287" t="str">
        <f>IF(ISBLANK('FBPQ T4'!E32)," ",'FBPQ T4'!AE32)</f>
        <v> </v>
      </c>
      <c r="I40" s="1288" t="str">
        <f t="shared" si="3"/>
        <v> </v>
      </c>
      <c r="J40"/>
      <c r="K40" s="31"/>
      <c r="L40" s="31"/>
      <c r="M40" s="47"/>
      <c r="N40" s="42"/>
      <c r="O40" s="43"/>
    </row>
    <row r="41" spans="1:15" ht="12.75">
      <c r="A41" s="26"/>
      <c r="B41" s="21" t="s">
        <v>65</v>
      </c>
      <c r="C41" s="22"/>
      <c r="D41" s="26"/>
      <c r="E41" s="1285">
        <f>IF(ISNUMBER('FBPQ C2'!K33),'FBPQ C2'!K33,IF(ISNUMBER('FBPQ C2'!I33),'FBPQ C2'!I33,""))</f>
      </c>
      <c r="F41" s="1286"/>
      <c r="G41" s="1286">
        <f t="shared" si="2"/>
        <v>0</v>
      </c>
      <c r="H41" s="1287" t="str">
        <f>IF(ISBLANK('FBPQ T4'!E33)," ",'FBPQ T4'!AE33)</f>
        <v> </v>
      </c>
      <c r="I41" s="1288" t="str">
        <f t="shared" si="3"/>
        <v> </v>
      </c>
      <c r="J41" t="s">
        <v>874</v>
      </c>
      <c r="K41" s="32"/>
      <c r="L41" s="33"/>
      <c r="M41" s="32"/>
      <c r="N41" s="42"/>
      <c r="O41" s="41"/>
    </row>
    <row r="42" spans="1:15" ht="12.75">
      <c r="A42" s="26"/>
      <c r="B42" s="21"/>
      <c r="C42" s="22" t="s">
        <v>652</v>
      </c>
      <c r="D42" s="26" t="s">
        <v>18</v>
      </c>
      <c r="E42" s="1285">
        <f>IF(ISNUMBER('FBPQ C2'!K34),'FBPQ C2'!K34,IF(ISNUMBER('FBPQ C2'!I34),'FBPQ C2'!I34,""))</f>
        <v>40.83493758017247</v>
      </c>
      <c r="F42" s="1286" t="s">
        <v>58</v>
      </c>
      <c r="G42" s="1286">
        <f t="shared" si="2"/>
        <v>40.83493758017247</v>
      </c>
      <c r="H42" s="1287">
        <f>IF(ISBLANK('FBPQ T4'!E34)," ",'FBPQ T4'!AE34)</f>
        <v>12473.2</v>
      </c>
      <c r="I42" s="1288">
        <f t="shared" si="3"/>
        <v>509342.3434250073</v>
      </c>
      <c r="J42" t="s">
        <v>874</v>
      </c>
      <c r="K42" s="32"/>
      <c r="L42" s="33"/>
      <c r="M42" s="32"/>
      <c r="N42" s="42"/>
      <c r="O42" s="41"/>
    </row>
    <row r="43" spans="1:15" ht="12.75">
      <c r="A43" s="26"/>
      <c r="B43" s="21"/>
      <c r="C43" s="22" t="s">
        <v>653</v>
      </c>
      <c r="D43" s="26" t="s">
        <v>18</v>
      </c>
      <c r="E43" s="1285">
        <f>IF(ISNUMBER('FBPQ C2'!K35),'FBPQ C2'!K35,IF(ISNUMBER('FBPQ C2'!I35),'FBPQ C2'!I35,""))</f>
        <v>40.83493758017247</v>
      </c>
      <c r="F43" s="1286" t="s">
        <v>58</v>
      </c>
      <c r="G43" s="1286">
        <f t="shared" si="2"/>
        <v>40.83493758017247</v>
      </c>
      <c r="H43" s="1287">
        <f>IF(ISBLANK('FBPQ T4'!E35)," ",'FBPQ T4'!AE35)</f>
        <v>20</v>
      </c>
      <c r="I43" s="1288">
        <f t="shared" si="3"/>
        <v>816.6987516034494</v>
      </c>
      <c r="J43" t="s">
        <v>874</v>
      </c>
      <c r="K43" s="32"/>
      <c r="L43" s="33"/>
      <c r="M43" s="32"/>
      <c r="N43" s="42"/>
      <c r="O43" s="41"/>
    </row>
    <row r="44" spans="1:15" ht="12.75">
      <c r="A44" s="26"/>
      <c r="B44" s="21"/>
      <c r="C44" s="22" t="s">
        <v>654</v>
      </c>
      <c r="D44" s="26" t="s">
        <v>18</v>
      </c>
      <c r="E44" s="1285">
        <f>IF(ISNUMBER('FBPQ C2'!K36),'FBPQ C2'!K36,IF(ISNUMBER('FBPQ C2'!I36),'FBPQ C2'!I36,""))</f>
        <v>0</v>
      </c>
      <c r="F44" s="1286" t="s">
        <v>58</v>
      </c>
      <c r="G44" s="1286">
        <f t="shared" si="2"/>
        <v>0</v>
      </c>
      <c r="H44" s="1287">
        <f>IF(ISBLANK('FBPQ T4'!E36)," ",'FBPQ T4'!AE36)</f>
        <v>0</v>
      </c>
      <c r="I44" s="1288">
        <f t="shared" si="3"/>
        <v>0</v>
      </c>
      <c r="J44" t="s">
        <v>874</v>
      </c>
      <c r="K44" s="32"/>
      <c r="L44" s="32"/>
      <c r="M44" s="32"/>
      <c r="N44" s="42"/>
      <c r="O44" s="41"/>
    </row>
    <row r="45" spans="1:15" ht="12.75">
      <c r="A45" s="26"/>
      <c r="B45" s="21"/>
      <c r="C45" s="22" t="s">
        <v>635</v>
      </c>
      <c r="D45" s="26" t="s">
        <v>18</v>
      </c>
      <c r="E45" s="1285">
        <f>IF(ISNUMBER('FBPQ C2'!K37),'FBPQ C2'!K37,IF(ISNUMBER('FBPQ C2'!I37),'FBPQ C2'!I37,""))</f>
        <v>0</v>
      </c>
      <c r="F45" s="1286" t="s">
        <v>58</v>
      </c>
      <c r="G45" s="1286">
        <f t="shared" si="2"/>
        <v>0</v>
      </c>
      <c r="H45" s="1287">
        <f>IF(ISBLANK('FBPQ T4'!E37)," ",'FBPQ T4'!AE37)</f>
        <v>0</v>
      </c>
      <c r="I45" s="1288">
        <f t="shared" si="3"/>
        <v>0</v>
      </c>
      <c r="J45" t="s">
        <v>874</v>
      </c>
      <c r="K45" s="32"/>
      <c r="L45" s="32"/>
      <c r="M45" s="32"/>
      <c r="N45" s="42"/>
      <c r="O45" s="43"/>
    </row>
    <row r="46" spans="1:15" ht="12.75">
      <c r="A46" s="26"/>
      <c r="B46" s="21"/>
      <c r="C46" s="22"/>
      <c r="D46" s="26"/>
      <c r="E46" s="1285">
        <f>IF(ISNUMBER('FBPQ C2'!K38),'FBPQ C2'!K38,IF(ISNUMBER('FBPQ C2'!I38),'FBPQ C2'!I38,""))</f>
      </c>
      <c r="F46" s="1286"/>
      <c r="G46" s="1286">
        <f t="shared" si="2"/>
        <v>0</v>
      </c>
      <c r="H46" s="1287" t="str">
        <f>IF(ISBLANK('FBPQ T4'!E38)," ",'FBPQ T4'!AE38)</f>
        <v> </v>
      </c>
      <c r="I46" s="1288" t="str">
        <f t="shared" si="3"/>
        <v> </v>
      </c>
      <c r="J46" t="s">
        <v>874</v>
      </c>
      <c r="K46" s="32"/>
      <c r="L46" s="32"/>
      <c r="M46" s="32"/>
      <c r="N46" s="42"/>
      <c r="O46" s="43"/>
    </row>
    <row r="47" spans="1:15" ht="12.75">
      <c r="A47" s="26"/>
      <c r="B47" s="21" t="s">
        <v>361</v>
      </c>
      <c r="C47" s="22"/>
      <c r="D47" s="26"/>
      <c r="E47" s="1285">
        <f>IF(ISNUMBER('FBPQ C2'!K39),'FBPQ C2'!K39,IF(ISNUMBER('FBPQ C2'!I39),'FBPQ C2'!I39,""))</f>
      </c>
      <c r="F47" s="1286"/>
      <c r="G47" s="1286">
        <f t="shared" si="2"/>
        <v>0</v>
      </c>
      <c r="H47" s="1287" t="str">
        <f>IF(ISBLANK('FBPQ T4'!E39)," ",'FBPQ T4'!AE39)</f>
        <v> </v>
      </c>
      <c r="I47" s="1288" t="str">
        <f t="shared" si="3"/>
        <v> </v>
      </c>
      <c r="J47" t="s">
        <v>874</v>
      </c>
      <c r="K47" s="32"/>
      <c r="L47" s="33"/>
      <c r="M47" s="32"/>
      <c r="N47" s="42"/>
      <c r="O47" s="41"/>
    </row>
    <row r="48" spans="1:15" ht="12.75">
      <c r="A48" s="26"/>
      <c r="B48" s="21"/>
      <c r="C48" s="22" t="s">
        <v>525</v>
      </c>
      <c r="D48" s="26" t="s">
        <v>360</v>
      </c>
      <c r="E48" s="1289">
        <f>IF(ISNUMBER('FBPQ C2'!K40),'FBPQ C2'!K40,IF(ISNUMBER('FBPQ C2'!I40),'FBPQ C2'!I40,""))</f>
        <v>0</v>
      </c>
      <c r="F48" s="1286" t="s">
        <v>58</v>
      </c>
      <c r="G48" s="1286">
        <f t="shared" si="2"/>
        <v>0</v>
      </c>
      <c r="H48" s="1287">
        <f>IF(ISBLANK('FBPQ T4'!E40)," ",'FBPQ T4'!AE40)</f>
        <v>160773</v>
      </c>
      <c r="I48" s="1288">
        <f t="shared" si="3"/>
        <v>0</v>
      </c>
      <c r="J48" t="s">
        <v>874</v>
      </c>
      <c r="K48" s="32"/>
      <c r="L48" s="47"/>
      <c r="M48" s="32"/>
      <c r="N48" s="42"/>
      <c r="O48" s="41"/>
    </row>
    <row r="49" spans="1:15" ht="12.75">
      <c r="A49" s="26"/>
      <c r="B49" s="21"/>
      <c r="C49" s="22" t="s">
        <v>526</v>
      </c>
      <c r="D49" s="26" t="s">
        <v>360</v>
      </c>
      <c r="E49" s="1285">
        <f>IF(ISNUMBER('FBPQ C2'!K41),'FBPQ C2'!K41,IF(ISNUMBER('FBPQ C2'!I41),'FBPQ C2'!I41,""))</f>
        <v>0</v>
      </c>
      <c r="F49" s="1286" t="s">
        <v>58</v>
      </c>
      <c r="G49" s="1286">
        <f t="shared" si="2"/>
        <v>0</v>
      </c>
      <c r="H49" s="1287">
        <f>IF(ISBLANK('FBPQ T4'!E41)," ",'FBPQ T4'!AE41)</f>
        <v>0</v>
      </c>
      <c r="I49" s="1288">
        <f t="shared" si="3"/>
        <v>0</v>
      </c>
      <c r="J49" t="s">
        <v>874</v>
      </c>
      <c r="K49" s="32"/>
      <c r="L49" s="33"/>
      <c r="M49" s="32"/>
      <c r="N49" s="42"/>
      <c r="O49" s="43"/>
    </row>
    <row r="50" spans="1:15" ht="12.75">
      <c r="A50" s="26"/>
      <c r="B50" s="21"/>
      <c r="C50" s="22"/>
      <c r="D50" s="26"/>
      <c r="E50" s="1285">
        <f>IF(ISNUMBER('FBPQ C2'!K42),'FBPQ C2'!K42,IF(ISNUMBER('FBPQ C2'!I42),'FBPQ C2'!I42,""))</f>
      </c>
      <c r="F50" s="1286" t="s">
        <v>58</v>
      </c>
      <c r="G50" s="1286" t="str">
        <f t="shared" si="2"/>
        <v>DATA</v>
      </c>
      <c r="H50" s="1287" t="str">
        <f>IF(ISBLANK('FBPQ T4'!E42)," ",'FBPQ T4'!AE42)</f>
        <v> </v>
      </c>
      <c r="I50" s="1288" t="str">
        <f t="shared" si="3"/>
        <v> </v>
      </c>
      <c r="J50" t="s">
        <v>874</v>
      </c>
      <c r="K50" s="32"/>
      <c r="L50" s="32"/>
      <c r="M50" s="32"/>
      <c r="N50" s="42"/>
      <c r="O50" s="43"/>
    </row>
    <row r="51" spans="1:15" ht="12.75">
      <c r="A51" s="26"/>
      <c r="B51" s="21" t="s">
        <v>390</v>
      </c>
      <c r="C51" s="22"/>
      <c r="D51" s="26"/>
      <c r="E51" s="1285">
        <f>IF(ISNUMBER('FBPQ C2'!K43),'FBPQ C2'!K43,IF(ISNUMBER('FBPQ C2'!I43),'FBPQ C2'!I43,""))</f>
      </c>
      <c r="F51" s="1286"/>
      <c r="G51" s="1286">
        <f t="shared" si="2"/>
        <v>0</v>
      </c>
      <c r="H51" s="1287" t="str">
        <f>IF(ISBLANK('FBPQ T4'!E43)," ",'FBPQ T4'!AE43)</f>
        <v> </v>
      </c>
      <c r="I51" s="1288" t="str">
        <f t="shared" si="3"/>
        <v> </v>
      </c>
      <c r="J51" t="s">
        <v>874</v>
      </c>
      <c r="K51" s="32"/>
      <c r="L51" s="33"/>
      <c r="M51" s="32"/>
      <c r="N51" s="42"/>
      <c r="O51" s="41"/>
    </row>
    <row r="52" spans="1:15" ht="12.75">
      <c r="A52" s="26"/>
      <c r="B52" s="21"/>
      <c r="C52" s="22" t="s">
        <v>391</v>
      </c>
      <c r="D52" s="26" t="s">
        <v>18</v>
      </c>
      <c r="E52" s="1285">
        <f>IF(ISNUMBER('FBPQ C2'!K44),'FBPQ C2'!K44,IF(ISNUMBER('FBPQ C2'!I44),'FBPQ C2'!I44,""))</f>
        <v>80.10393360122329</v>
      </c>
      <c r="F52" s="1286" t="s">
        <v>58</v>
      </c>
      <c r="G52" s="1286">
        <f t="shared" si="2"/>
        <v>80.10393360122329</v>
      </c>
      <c r="H52" s="1287">
        <f>IF(ISBLANK('FBPQ T4'!E44)," ",'FBPQ T4'!AE44)</f>
        <v>13673.9</v>
      </c>
      <c r="I52" s="1288">
        <f t="shared" si="3"/>
        <v>1095333.177669767</v>
      </c>
      <c r="J52" t="s">
        <v>874</v>
      </c>
      <c r="K52" s="32"/>
      <c r="L52" s="33"/>
      <c r="M52" s="32"/>
      <c r="N52" s="42"/>
      <c r="O52" s="41"/>
    </row>
    <row r="53" spans="1:15" ht="12.75">
      <c r="A53" s="26"/>
      <c r="B53" s="21"/>
      <c r="C53" s="22" t="s">
        <v>392</v>
      </c>
      <c r="D53" s="26" t="s">
        <v>18</v>
      </c>
      <c r="E53" s="1285">
        <f>IF(ISNUMBER('FBPQ C2'!K45),'FBPQ C2'!K45,IF(ISNUMBER('FBPQ C2'!I45),'FBPQ C2'!I45,""))</f>
        <v>0</v>
      </c>
      <c r="F53" s="1286" t="s">
        <v>58</v>
      </c>
      <c r="G53" s="1286">
        <f t="shared" si="2"/>
        <v>0</v>
      </c>
      <c r="H53" s="1287">
        <f>IF(ISBLANK('FBPQ T4'!E45)," ",'FBPQ T4'!AE45)</f>
        <v>0</v>
      </c>
      <c r="I53" s="1288">
        <f t="shared" si="3"/>
        <v>0</v>
      </c>
      <c r="J53" t="s">
        <v>874</v>
      </c>
      <c r="K53" s="32"/>
      <c r="L53" s="33"/>
      <c r="M53" s="32"/>
      <c r="N53" s="42"/>
      <c r="O53" s="43"/>
    </row>
    <row r="54" spans="1:15" ht="12.75">
      <c r="A54" s="26"/>
      <c r="B54" s="21"/>
      <c r="C54" s="22"/>
      <c r="D54" s="26"/>
      <c r="E54" s="1285">
        <f>IF(ISNUMBER('FBPQ C2'!K46),'FBPQ C2'!K46,IF(ISNUMBER('FBPQ C2'!I46),'FBPQ C2'!I46,""))</f>
      </c>
      <c r="F54" s="1286"/>
      <c r="G54" s="1286">
        <f t="shared" si="2"/>
        <v>0</v>
      </c>
      <c r="H54" s="1287" t="str">
        <f>IF(ISBLANK('FBPQ T4'!E46)," ",'FBPQ T4'!AE46)</f>
        <v> </v>
      </c>
      <c r="I54" s="1288" t="str">
        <f t="shared" si="3"/>
        <v> </v>
      </c>
      <c r="J54" t="s">
        <v>874</v>
      </c>
      <c r="K54" s="32"/>
      <c r="L54" s="33"/>
      <c r="M54" s="32"/>
      <c r="N54" s="42"/>
      <c r="O54" s="43"/>
    </row>
    <row r="55" spans="1:15" ht="12.75">
      <c r="A55" s="26"/>
      <c r="B55" s="21" t="s">
        <v>682</v>
      </c>
      <c r="C55" s="22"/>
      <c r="D55" s="26"/>
      <c r="E55" s="1285">
        <f>IF(ISNUMBER('FBPQ C2'!K47),'FBPQ C2'!K47,IF(ISNUMBER('FBPQ C2'!I47),'FBPQ C2'!I47,""))</f>
      </c>
      <c r="F55" s="1286"/>
      <c r="G55" s="1286">
        <f t="shared" si="2"/>
        <v>0</v>
      </c>
      <c r="H55" s="1287" t="str">
        <f>IF(ISBLANK('FBPQ T4'!E47)," ",'FBPQ T4'!AE47)</f>
        <v> </v>
      </c>
      <c r="I55" s="1288" t="str">
        <f t="shared" si="3"/>
        <v> </v>
      </c>
      <c r="J55" t="s">
        <v>874</v>
      </c>
      <c r="K55" s="32"/>
      <c r="L55" s="33"/>
      <c r="M55" s="32"/>
      <c r="N55" s="42"/>
      <c r="O55" s="41"/>
    </row>
    <row r="56" spans="1:15" ht="12.75">
      <c r="A56" s="26"/>
      <c r="B56" s="21"/>
      <c r="C56" s="22" t="s">
        <v>683</v>
      </c>
      <c r="D56" s="26" t="s">
        <v>18</v>
      </c>
      <c r="E56" s="1285">
        <f>IF(ISNUMBER('FBPQ C2'!K48),'FBPQ C2'!K48,IF(ISNUMBER('FBPQ C2'!I48),'FBPQ C2'!I48,""))</f>
        <v>0</v>
      </c>
      <c r="F56" s="1286" t="s">
        <v>58</v>
      </c>
      <c r="G56" s="1286">
        <f t="shared" si="2"/>
        <v>0</v>
      </c>
      <c r="H56" s="1287">
        <f>IF(ISBLANK('FBPQ T4'!E48)," ",'FBPQ T4'!AE48)</f>
        <v>0</v>
      </c>
      <c r="I56" s="1288">
        <f t="shared" si="3"/>
        <v>0</v>
      </c>
      <c r="J56" t="s">
        <v>874</v>
      </c>
      <c r="K56" s="32"/>
      <c r="L56" s="33"/>
      <c r="M56" s="32"/>
      <c r="N56" s="42"/>
      <c r="O56" s="43"/>
    </row>
    <row r="57" spans="1:15" ht="12.75">
      <c r="A57" s="26"/>
      <c r="B57" s="21"/>
      <c r="C57" s="22"/>
      <c r="D57" s="26"/>
      <c r="E57" s="1285">
        <f>IF(ISNUMBER('FBPQ C2'!K49),'FBPQ C2'!K49,IF(ISNUMBER('FBPQ C2'!I49),'FBPQ C2'!I49,""))</f>
      </c>
      <c r="F57" s="1286" t="s">
        <v>58</v>
      </c>
      <c r="G57" s="1286" t="str">
        <f t="shared" si="2"/>
        <v>DATA</v>
      </c>
      <c r="H57" s="1287" t="str">
        <f>IF(ISBLANK('FBPQ T4'!E49)," ",'FBPQ T4'!AE49)</f>
        <v> </v>
      </c>
      <c r="I57" s="1288" t="str">
        <f t="shared" si="3"/>
        <v> </v>
      </c>
      <c r="J57" t="s">
        <v>874</v>
      </c>
      <c r="K57" s="32"/>
      <c r="L57" s="33"/>
      <c r="M57" s="32"/>
      <c r="N57" s="42"/>
      <c r="O57" s="43"/>
    </row>
    <row r="58" spans="1:15" ht="12.75">
      <c r="A58" s="26"/>
      <c r="B58" s="21" t="s">
        <v>216</v>
      </c>
      <c r="C58" s="22"/>
      <c r="D58" s="26"/>
      <c r="E58" s="1285">
        <f>IF(ISNUMBER('FBPQ C2'!K50),'FBPQ C2'!K50,IF(ISNUMBER('FBPQ C2'!I50),'FBPQ C2'!I50,""))</f>
      </c>
      <c r="F58" s="1286"/>
      <c r="G58" s="1286">
        <f t="shared" si="2"/>
        <v>0</v>
      </c>
      <c r="H58" s="1287" t="str">
        <f>IF(ISBLANK('FBPQ T4'!E50)," ",'FBPQ T4'!AE50)</f>
        <v> </v>
      </c>
      <c r="I58" s="1288" t="str">
        <f t="shared" si="3"/>
        <v> </v>
      </c>
      <c r="J58" t="s">
        <v>874</v>
      </c>
      <c r="K58" s="32"/>
      <c r="L58" s="33"/>
      <c r="M58" s="32"/>
      <c r="N58" s="42"/>
      <c r="O58" s="41"/>
    </row>
    <row r="59" spans="1:15" ht="12.75">
      <c r="A59" s="26"/>
      <c r="B59" s="21"/>
      <c r="C59" s="1290" t="s">
        <v>684</v>
      </c>
      <c r="D59" s="26" t="s">
        <v>360</v>
      </c>
      <c r="E59" s="1285">
        <f>IF(ISNUMBER('FBPQ C2'!K51),'FBPQ C2'!K51,IF(ISNUMBER('FBPQ C2'!I51),'FBPQ C2'!I51,""))</f>
        <v>13.250274731029416</v>
      </c>
      <c r="F59" s="1286" t="s">
        <v>58</v>
      </c>
      <c r="G59" s="1286">
        <f t="shared" si="2"/>
        <v>13.250274731029416</v>
      </c>
      <c r="H59" s="1287">
        <f>IF(ISBLANK('FBPQ T4'!E51)," ",'FBPQ T4'!AE51)</f>
        <v>1227</v>
      </c>
      <c r="I59" s="1288">
        <f t="shared" si="3"/>
        <v>16258.087094973092</v>
      </c>
      <c r="J59" t="s">
        <v>83</v>
      </c>
      <c r="K59" s="32"/>
      <c r="L59" s="33"/>
      <c r="M59" s="32"/>
      <c r="N59" s="42"/>
      <c r="O59" s="41"/>
    </row>
    <row r="60" spans="1:15" ht="12.75">
      <c r="A60" s="26"/>
      <c r="B60" s="21"/>
      <c r="C60" s="1290" t="s">
        <v>897</v>
      </c>
      <c r="D60" s="26" t="s">
        <v>360</v>
      </c>
      <c r="E60" s="1285">
        <f>IF(ISNUMBER('FBPQ C2'!K52),'FBPQ C2'!K52,IF(ISNUMBER('FBPQ C2'!I52),'FBPQ C2'!I52,""))</f>
        <v>29.271061451274075</v>
      </c>
      <c r="F60" s="1286" t="s">
        <v>58</v>
      </c>
      <c r="G60" s="1286">
        <f t="shared" si="2"/>
        <v>29.271061451274075</v>
      </c>
      <c r="H60" s="1287">
        <f>IF(ISBLANK('FBPQ T4'!E52)," ",'FBPQ T4'!AE52)</f>
        <v>7868</v>
      </c>
      <c r="I60" s="1288">
        <f t="shared" si="3"/>
        <v>230304.7114986244</v>
      </c>
      <c r="J60" t="s">
        <v>83</v>
      </c>
      <c r="K60" s="32"/>
      <c r="L60" s="33"/>
      <c r="M60" s="32"/>
      <c r="N60" s="42"/>
      <c r="O60" s="41"/>
    </row>
    <row r="61" spans="1:15" ht="12.75">
      <c r="A61" s="26"/>
      <c r="B61" s="21"/>
      <c r="C61" s="1290" t="s">
        <v>898</v>
      </c>
      <c r="D61" s="26" t="s">
        <v>360</v>
      </c>
      <c r="E61" s="1285">
        <f>IF(ISNUMBER('FBPQ C2'!K53),'FBPQ C2'!K53,IF(ISNUMBER('FBPQ C2'!I53),'FBPQ C2'!I53,""))</f>
        <v>1.5659415591216583</v>
      </c>
      <c r="F61" s="1286" t="s">
        <v>58</v>
      </c>
      <c r="G61" s="1286">
        <f t="shared" si="2"/>
        <v>1.5659415591216583</v>
      </c>
      <c r="H61" s="1287">
        <f>IF(ISBLANK('FBPQ T4'!E53)," ",'FBPQ T4'!AE53)</f>
        <v>387</v>
      </c>
      <c r="I61" s="1288">
        <f t="shared" si="3"/>
        <v>606.0193833800818</v>
      </c>
      <c r="J61" t="s">
        <v>874</v>
      </c>
      <c r="K61" s="32"/>
      <c r="L61" s="33"/>
      <c r="M61" s="32"/>
      <c r="N61" s="42"/>
      <c r="O61" s="41"/>
    </row>
    <row r="62" spans="1:15" ht="12.75">
      <c r="A62" s="26"/>
      <c r="B62" s="21"/>
      <c r="C62" s="1290" t="s">
        <v>899</v>
      </c>
      <c r="D62" s="26" t="s">
        <v>360</v>
      </c>
      <c r="E62" s="1285">
        <f>IF(ISNUMBER('FBPQ C2'!K54),'FBPQ C2'!K54,IF(ISNUMBER('FBPQ C2'!I54),'FBPQ C2'!I54,""))</f>
        <v>4.938738763383691</v>
      </c>
      <c r="F62" s="1286" t="s">
        <v>58</v>
      </c>
      <c r="G62" s="1286">
        <f t="shared" si="2"/>
        <v>4.938738763383691</v>
      </c>
      <c r="H62" s="1287">
        <f>IF(ISBLANK('FBPQ T4'!E54)," ",'FBPQ T4'!AE54)</f>
        <v>10608</v>
      </c>
      <c r="I62" s="1288">
        <f t="shared" si="3"/>
        <v>52390.140801974194</v>
      </c>
      <c r="J62" t="s">
        <v>367</v>
      </c>
      <c r="K62" s="32"/>
      <c r="L62" s="33"/>
      <c r="M62" s="32"/>
      <c r="N62" s="42"/>
      <c r="O62" s="41"/>
    </row>
    <row r="63" spans="1:15" ht="12.75">
      <c r="A63" s="26"/>
      <c r="B63" s="21"/>
      <c r="C63" s="1290" t="s">
        <v>415</v>
      </c>
      <c r="D63" s="26" t="s">
        <v>360</v>
      </c>
      <c r="E63" s="1285">
        <f>IF(ISNUMBER('FBPQ C2'!K55),'FBPQ C2'!K55,IF(ISNUMBER('FBPQ C2'!I55),'FBPQ C2'!I55,""))</f>
        <v>15.538958548207226</v>
      </c>
      <c r="F63" s="1286" t="s">
        <v>58</v>
      </c>
      <c r="G63" s="1286">
        <f t="shared" si="2"/>
        <v>15.538958548207226</v>
      </c>
      <c r="H63" s="1287">
        <f>IF(ISBLANK('FBPQ T4'!E55)," ",'FBPQ T4'!AE55)</f>
        <v>17327</v>
      </c>
      <c r="I63" s="1288">
        <f t="shared" si="3"/>
        <v>269243.5347647866</v>
      </c>
      <c r="J63" t="s">
        <v>367</v>
      </c>
      <c r="K63" s="32"/>
      <c r="L63" s="33"/>
      <c r="M63" s="32"/>
      <c r="N63" s="42"/>
      <c r="O63" s="44"/>
    </row>
    <row r="64" spans="1:15" ht="12.75">
      <c r="A64" s="26"/>
      <c r="B64" s="21"/>
      <c r="C64" s="22" t="s">
        <v>549</v>
      </c>
      <c r="D64" s="26" t="s">
        <v>360</v>
      </c>
      <c r="E64" s="1289">
        <f>E61</f>
        <v>1.5659415591216583</v>
      </c>
      <c r="F64" s="1286" t="s">
        <v>58</v>
      </c>
      <c r="G64" s="1286">
        <f t="shared" si="2"/>
        <v>1.5659415591216583</v>
      </c>
      <c r="H64" s="1287">
        <f>IF(ISBLANK('FBPQ T4'!E56)," ",'FBPQ T4'!AE56)</f>
        <v>11757</v>
      </c>
      <c r="I64" s="1288">
        <f t="shared" si="3"/>
        <v>18410.774910593336</v>
      </c>
      <c r="J64" t="s">
        <v>874</v>
      </c>
      <c r="K64" s="32"/>
      <c r="L64" s="33"/>
      <c r="M64" s="32"/>
      <c r="N64" s="42"/>
      <c r="O64" s="44"/>
    </row>
    <row r="65" spans="1:15" ht="12.75">
      <c r="A65" s="26"/>
      <c r="B65" s="21"/>
      <c r="C65" s="22" t="s">
        <v>686</v>
      </c>
      <c r="D65" s="26" t="s">
        <v>360</v>
      </c>
      <c r="E65" s="1285">
        <f>IF(ISNUMBER('FBPQ C2'!K57),'FBPQ C2'!K57,IF(ISNUMBER('FBPQ C2'!I57),'FBPQ C2'!I57,""))</f>
      </c>
      <c r="F65" s="1286" t="s">
        <v>58</v>
      </c>
      <c r="G65" s="1286" t="str">
        <f t="shared" si="2"/>
        <v> </v>
      </c>
      <c r="H65" s="1287">
        <f>IF(ISBLANK('FBPQ T4'!E57)," ",'FBPQ T4'!AE57)</f>
        <v>0</v>
      </c>
      <c r="I65" s="1288" t="str">
        <f t="shared" si="3"/>
        <v> </v>
      </c>
      <c r="J65" t="s">
        <v>874</v>
      </c>
      <c r="K65" s="32"/>
      <c r="L65" s="33"/>
      <c r="M65" s="32"/>
      <c r="N65" s="42"/>
      <c r="O65" s="41"/>
    </row>
    <row r="66" spans="1:15" ht="12.75">
      <c r="A66" s="26"/>
      <c r="B66" s="21"/>
      <c r="C66" s="22" t="s">
        <v>395</v>
      </c>
      <c r="D66" s="26" t="s">
        <v>360</v>
      </c>
      <c r="E66" s="1285">
        <f>IF(ISNUMBER('FBPQ C2'!K58),'FBPQ C2'!K58,IF(ISNUMBER('FBPQ C2'!I58),'FBPQ C2'!I58,""))</f>
        <v>0</v>
      </c>
      <c r="F66" s="1286" t="s">
        <v>58</v>
      </c>
      <c r="G66" s="1286">
        <f t="shared" si="2"/>
        <v>0</v>
      </c>
      <c r="H66" s="1287">
        <f>IF(ISBLANK('FBPQ T4'!E58)," ",'FBPQ T4'!AE58)</f>
        <v>0</v>
      </c>
      <c r="I66" s="1288">
        <f t="shared" si="3"/>
        <v>0</v>
      </c>
      <c r="J66" t="s">
        <v>83</v>
      </c>
      <c r="K66" s="32"/>
      <c r="L66" s="32"/>
      <c r="M66" s="32"/>
      <c r="N66" s="42"/>
      <c r="O66" s="41"/>
    </row>
    <row r="67" spans="1:15" ht="12.75">
      <c r="A67" s="26"/>
      <c r="B67" s="21"/>
      <c r="C67" s="22" t="s">
        <v>643</v>
      </c>
      <c r="D67" s="26" t="s">
        <v>360</v>
      </c>
      <c r="E67" s="1285">
        <f>IF(ISNUMBER('FBPQ C2'!K59),'FBPQ C2'!K59,IF(ISNUMBER('FBPQ C2'!I59),'FBPQ C2'!I59,""))</f>
        <v>0</v>
      </c>
      <c r="F67" s="1286" t="s">
        <v>58</v>
      </c>
      <c r="G67" s="1286">
        <f t="shared" si="2"/>
        <v>0</v>
      </c>
      <c r="H67" s="1287">
        <f>IF(ISBLANK('FBPQ T4'!E59)," ",'FBPQ T4'!AE59)</f>
        <v>0</v>
      </c>
      <c r="I67" s="1288">
        <f t="shared" si="3"/>
        <v>0</v>
      </c>
      <c r="J67" t="s">
        <v>83</v>
      </c>
      <c r="K67" s="32"/>
      <c r="L67" s="32"/>
      <c r="M67" s="32"/>
      <c r="N67" s="42"/>
      <c r="O67" s="41"/>
    </row>
    <row r="68" spans="1:15" ht="12.75">
      <c r="A68" s="26"/>
      <c r="B68" s="21"/>
      <c r="C68" s="22" t="s">
        <v>644</v>
      </c>
      <c r="D68" s="26" t="s">
        <v>360</v>
      </c>
      <c r="E68" s="1285">
        <f>IF(ISNUMBER('FBPQ C2'!K60),'FBPQ C2'!K60,IF(ISNUMBER('FBPQ C2'!I60),'FBPQ C2'!I60,""))</f>
        <v>0</v>
      </c>
      <c r="F68" s="1286" t="s">
        <v>58</v>
      </c>
      <c r="G68" s="1286">
        <f t="shared" si="2"/>
        <v>0</v>
      </c>
      <c r="H68" s="1287">
        <f>IF(ISBLANK('FBPQ T4'!E60)," ",'FBPQ T4'!AE60)</f>
        <v>0</v>
      </c>
      <c r="I68" s="1288">
        <f t="shared" si="3"/>
        <v>0</v>
      </c>
      <c r="J68" t="s">
        <v>874</v>
      </c>
      <c r="K68" s="32"/>
      <c r="L68" s="33"/>
      <c r="M68" s="32"/>
      <c r="N68" s="42"/>
      <c r="O68" s="41"/>
    </row>
    <row r="69" spans="1:15" ht="12.75">
      <c r="A69" s="26"/>
      <c r="B69" s="21"/>
      <c r="C69" s="22" t="s">
        <v>645</v>
      </c>
      <c r="D69" s="26" t="s">
        <v>360</v>
      </c>
      <c r="E69" s="1285">
        <f>IF(ISNUMBER('FBPQ C2'!K61),'FBPQ C2'!K61,IF(ISNUMBER('FBPQ C2'!I61),'FBPQ C2'!I61,""))</f>
        <v>0</v>
      </c>
      <c r="F69" s="1286" t="s">
        <v>58</v>
      </c>
      <c r="G69" s="1286">
        <f t="shared" si="2"/>
        <v>0</v>
      </c>
      <c r="H69" s="1287">
        <f>IF(ISBLANK('FBPQ T4'!E61)," ",'FBPQ T4'!AE61)</f>
        <v>0</v>
      </c>
      <c r="I69" s="1288">
        <f t="shared" si="3"/>
        <v>0</v>
      </c>
      <c r="J69" t="s">
        <v>367</v>
      </c>
      <c r="K69" s="32"/>
      <c r="L69" s="33"/>
      <c r="M69" s="32"/>
      <c r="N69" s="42"/>
      <c r="O69" s="41"/>
    </row>
    <row r="70" spans="1:15" ht="12.75">
      <c r="A70" s="26"/>
      <c r="B70" s="21"/>
      <c r="C70" s="22" t="s">
        <v>509</v>
      </c>
      <c r="D70" s="26" t="s">
        <v>360</v>
      </c>
      <c r="E70" s="1285">
        <f>IF(ISNUMBER('FBPQ C2'!K62),'FBPQ C2'!K62,IF(ISNUMBER('FBPQ C2'!I62),'FBPQ C2'!I62,""))</f>
        <v>0</v>
      </c>
      <c r="F70" s="1286" t="s">
        <v>58</v>
      </c>
      <c r="G70" s="1286">
        <f t="shared" si="2"/>
        <v>0</v>
      </c>
      <c r="H70" s="1287">
        <f>IF(ISBLANK('FBPQ T4'!E62)," ",'FBPQ T4'!AE62)</f>
        <v>0</v>
      </c>
      <c r="I70" s="1288">
        <f t="shared" si="3"/>
        <v>0</v>
      </c>
      <c r="J70" t="s">
        <v>367</v>
      </c>
      <c r="K70" s="32"/>
      <c r="L70" s="33"/>
      <c r="M70" s="32"/>
      <c r="N70" s="42"/>
      <c r="O70" s="44"/>
    </row>
    <row r="71" spans="1:15" ht="12.75">
      <c r="A71" s="26"/>
      <c r="B71" s="21"/>
      <c r="C71" s="22" t="s">
        <v>398</v>
      </c>
      <c r="D71" s="26" t="s">
        <v>360</v>
      </c>
      <c r="E71" s="1285">
        <f>IF(ISNUMBER('FBPQ C2'!K63),'FBPQ C2'!K63,IF(ISNUMBER('FBPQ C2'!I63),'FBPQ C2'!I63,""))</f>
      </c>
      <c r="F71" s="1286" t="s">
        <v>58</v>
      </c>
      <c r="G71" s="1286" t="str">
        <f t="shared" si="2"/>
        <v> </v>
      </c>
      <c r="H71" s="1287">
        <f>IF(ISBLANK('FBPQ T4'!E63)," ",'FBPQ T4'!AE63)</f>
        <v>0</v>
      </c>
      <c r="I71" s="1288" t="str">
        <f t="shared" si="3"/>
        <v> </v>
      </c>
      <c r="J71" t="s">
        <v>874</v>
      </c>
      <c r="K71" s="32"/>
      <c r="L71" s="33"/>
      <c r="M71" s="32"/>
      <c r="N71" s="42"/>
      <c r="O71" s="44"/>
    </row>
    <row r="72" spans="1:15" ht="12.75">
      <c r="A72" s="26"/>
      <c r="B72" s="21"/>
      <c r="C72" s="22" t="s">
        <v>375</v>
      </c>
      <c r="D72" s="26" t="s">
        <v>360</v>
      </c>
      <c r="E72" s="1285">
        <f>IF(ISNUMBER('FBPQ C2'!K64),'FBPQ C2'!K64,IF(ISNUMBER('FBPQ C2'!I64),'FBPQ C2'!I64,""))</f>
      </c>
      <c r="F72" s="1286" t="s">
        <v>58</v>
      </c>
      <c r="G72" s="1286" t="str">
        <f t="shared" si="2"/>
        <v> </v>
      </c>
      <c r="H72" s="1287">
        <f>IF(ISBLANK('FBPQ T4'!E64)," ",'FBPQ T4'!AE64)</f>
        <v>0</v>
      </c>
      <c r="I72" s="1288" t="str">
        <f t="shared" si="3"/>
        <v> </v>
      </c>
      <c r="J72" t="s">
        <v>874</v>
      </c>
      <c r="K72" s="32"/>
      <c r="L72" s="33"/>
      <c r="M72" s="32"/>
      <c r="N72" s="42"/>
      <c r="O72" s="43"/>
    </row>
    <row r="73" spans="1:15" ht="12.75">
      <c r="A73" s="26"/>
      <c r="B73" s="21"/>
      <c r="C73" s="22"/>
      <c r="D73" s="26"/>
      <c r="E73" s="1285">
        <f>IF(ISNUMBER('FBPQ C2'!K65),'FBPQ C2'!K65,IF(ISNUMBER('FBPQ C2'!I65),'FBPQ C2'!I65,""))</f>
      </c>
      <c r="F73" s="1286"/>
      <c r="G73" s="1286">
        <f t="shared" si="2"/>
        <v>0</v>
      </c>
      <c r="H73" s="1287" t="str">
        <f>IF(ISBLANK('FBPQ T4'!E65)," ",'FBPQ T4'!AE65)</f>
        <v> </v>
      </c>
      <c r="I73" s="1288" t="str">
        <f t="shared" si="3"/>
        <v> </v>
      </c>
      <c r="J73"/>
      <c r="K73" s="32"/>
      <c r="L73" s="33"/>
      <c r="M73" s="32"/>
      <c r="N73" s="42"/>
      <c r="O73" s="43"/>
    </row>
    <row r="74" spans="1:15" ht="12.75">
      <c r="A74" s="26"/>
      <c r="B74" s="21" t="s">
        <v>376</v>
      </c>
      <c r="C74" s="22"/>
      <c r="D74" s="26"/>
      <c r="E74" s="1285">
        <f>IF(ISNUMBER('FBPQ C2'!K66),'FBPQ C2'!K66,IF(ISNUMBER('FBPQ C2'!I66),'FBPQ C2'!I66,""))</f>
      </c>
      <c r="F74" s="1286"/>
      <c r="G74" s="1286">
        <f t="shared" si="2"/>
        <v>0</v>
      </c>
      <c r="H74" s="1287" t="str">
        <f>IF(ISBLANK('FBPQ T4'!E66)," ",'FBPQ T4'!AE66)</f>
        <v> </v>
      </c>
      <c r="I74" s="1288" t="str">
        <f t="shared" si="3"/>
        <v> </v>
      </c>
      <c r="J74"/>
      <c r="K74" s="32"/>
      <c r="L74" s="33"/>
      <c r="M74" s="32"/>
      <c r="N74" s="42"/>
      <c r="O74" s="41"/>
    </row>
    <row r="75" spans="1:15" ht="12.75">
      <c r="A75" s="26"/>
      <c r="B75" s="21"/>
      <c r="C75" s="22" t="s">
        <v>228</v>
      </c>
      <c r="D75" s="26" t="s">
        <v>360</v>
      </c>
      <c r="E75" s="1285">
        <f>IF(ISNUMBER('FBPQ C2'!K67),'FBPQ C2'!K67,IF(ISNUMBER('FBPQ C2'!I67),'FBPQ C2'!I67,""))</f>
        <v>3.493254247271391</v>
      </c>
      <c r="F75" s="1286" t="s">
        <v>58</v>
      </c>
      <c r="G75" s="1286">
        <f t="shared" si="2"/>
        <v>3.493254247271391</v>
      </c>
      <c r="H75" s="1287">
        <f>IF(ISBLANK('FBPQ T4'!E67)," ",'FBPQ T4'!AE67)</f>
        <v>22854</v>
      </c>
      <c r="I75" s="1288">
        <f t="shared" si="3"/>
        <v>79834.83256714037</v>
      </c>
      <c r="J75" t="s">
        <v>367</v>
      </c>
      <c r="K75" s="32"/>
      <c r="L75" s="33"/>
      <c r="M75" s="32"/>
      <c r="N75" s="42"/>
      <c r="O75" s="41"/>
    </row>
    <row r="76" spans="1:15" ht="12.75">
      <c r="A76" s="26"/>
      <c r="B76" s="21"/>
      <c r="C76" s="22" t="s">
        <v>369</v>
      </c>
      <c r="D76" s="26" t="s">
        <v>360</v>
      </c>
      <c r="E76" s="1285">
        <f>IF(ISNUMBER('FBPQ C2'!K68),'FBPQ C2'!K68,IF(ISNUMBER('FBPQ C2'!I68),'FBPQ C2'!I68,""))</f>
        <v>11.322962042879682</v>
      </c>
      <c r="F76" s="1286" t="s">
        <v>58</v>
      </c>
      <c r="G76" s="1286">
        <f t="shared" si="2"/>
        <v>11.322962042879682</v>
      </c>
      <c r="H76" s="1287">
        <f>IF(ISBLANK('FBPQ T4'!E68)," ",'FBPQ T4'!AE68)</f>
        <v>19308</v>
      </c>
      <c r="I76" s="1288">
        <f t="shared" si="3"/>
        <v>218623.7511239209</v>
      </c>
      <c r="J76" t="s">
        <v>367</v>
      </c>
      <c r="K76" s="32"/>
      <c r="L76" s="33"/>
      <c r="M76" s="32"/>
      <c r="N76" s="42"/>
      <c r="O76" s="41"/>
    </row>
    <row r="77" spans="1:15" ht="12.75">
      <c r="A77" s="26"/>
      <c r="B77" s="21"/>
      <c r="C77" s="22" t="s">
        <v>370</v>
      </c>
      <c r="D77" s="26" t="s">
        <v>360</v>
      </c>
      <c r="E77" s="1285">
        <f>IF(ISNUMBER('FBPQ C2'!K69),'FBPQ C2'!K69,IF(ISNUMBER('FBPQ C2'!I69),'FBPQ C2'!I69,""))</f>
        <v>0</v>
      </c>
      <c r="F77" s="1286" t="s">
        <v>58</v>
      </c>
      <c r="G77" s="1286">
        <f t="shared" si="2"/>
        <v>0</v>
      </c>
      <c r="H77" s="1287">
        <f>IF(ISBLANK('FBPQ T4'!E69)," ",'FBPQ T4'!AE69)</f>
        <v>0</v>
      </c>
      <c r="I77" s="1288">
        <f t="shared" si="3"/>
        <v>0</v>
      </c>
      <c r="J77" t="s">
        <v>367</v>
      </c>
      <c r="K77" s="32"/>
      <c r="L77" s="33"/>
      <c r="M77" s="32"/>
      <c r="N77" s="42"/>
      <c r="O77" s="41"/>
    </row>
    <row r="78" spans="1:15" ht="12.75">
      <c r="A78" s="26"/>
      <c r="B78" s="21"/>
      <c r="C78" s="22" t="s">
        <v>371</v>
      </c>
      <c r="D78" s="26" t="s">
        <v>360</v>
      </c>
      <c r="E78" s="1285">
        <f>IF(ISNUMBER('FBPQ C2'!K70),'FBPQ C2'!K70,IF(ISNUMBER('FBPQ C2'!I70),'FBPQ C2'!I70,""))</f>
        <v>0</v>
      </c>
      <c r="F78" s="1286" t="s">
        <v>58</v>
      </c>
      <c r="G78" s="1286">
        <f t="shared" si="2"/>
        <v>0</v>
      </c>
      <c r="H78" s="1287">
        <f>IF(ISBLANK('FBPQ T4'!E70)," ",'FBPQ T4'!AE70)</f>
        <v>0</v>
      </c>
      <c r="I78" s="1288">
        <f t="shared" si="3"/>
        <v>0</v>
      </c>
      <c r="J78" t="s">
        <v>367</v>
      </c>
      <c r="K78" s="32"/>
      <c r="L78" s="33"/>
      <c r="M78" s="32"/>
      <c r="N78" s="42"/>
      <c r="O78" s="43"/>
    </row>
    <row r="79" spans="1:15" ht="12.75">
      <c r="A79" s="26"/>
      <c r="B79" s="21"/>
      <c r="C79" s="22"/>
      <c r="D79" s="26"/>
      <c r="E79" s="1285">
        <f>IF(ISNUMBER('FBPQ C2'!K71),'FBPQ C2'!K71,IF(ISNUMBER('FBPQ C2'!I71),'FBPQ C2'!I71,""))</f>
      </c>
      <c r="F79" s="1286"/>
      <c r="G79" s="1286">
        <f t="shared" si="2"/>
        <v>0</v>
      </c>
      <c r="H79" s="1287" t="str">
        <f>IF(ISBLANK('FBPQ T4'!E71)," ",'FBPQ T4'!AE71)</f>
        <v> </v>
      </c>
      <c r="I79" s="1288" t="str">
        <f t="shared" si="3"/>
        <v> </v>
      </c>
      <c r="J79"/>
      <c r="K79" s="45"/>
      <c r="L79" s="45"/>
      <c r="M79" s="45"/>
      <c r="N79" s="46"/>
      <c r="O79" s="43"/>
    </row>
    <row r="80" spans="1:15" ht="12.75">
      <c r="A80" s="26" t="s">
        <v>235</v>
      </c>
      <c r="B80" s="21"/>
      <c r="C80" s="22"/>
      <c r="D80" s="26"/>
      <c r="E80" s="1285">
        <f>IF(ISNUMBER('FBPQ C2'!K72),'FBPQ C2'!K72,IF(ISNUMBER('FBPQ C2'!I72),'FBPQ C2'!I72,""))</f>
      </c>
      <c r="F80" s="1286"/>
      <c r="G80" s="1286">
        <f t="shared" si="2"/>
        <v>0</v>
      </c>
      <c r="H80" s="1287" t="str">
        <f>IF(ISBLANK('FBPQ T4'!E72)," ",'FBPQ T4'!AE72)</f>
        <v> </v>
      </c>
      <c r="I80" s="1288" t="str">
        <f t="shared" si="3"/>
        <v> </v>
      </c>
      <c r="J80"/>
      <c r="K80" s="31"/>
      <c r="L80" s="31"/>
      <c r="M80" s="47"/>
      <c r="N80" s="42"/>
      <c r="O80" s="43"/>
    </row>
    <row r="81" spans="1:15" ht="12.75">
      <c r="A81" s="26"/>
      <c r="B81" s="21" t="s">
        <v>65</v>
      </c>
      <c r="C81" s="22"/>
      <c r="D81" s="26"/>
      <c r="E81" s="1285">
        <f>IF(ISNUMBER('FBPQ C2'!K73),'FBPQ C2'!K73,IF(ISNUMBER('FBPQ C2'!I73),'FBPQ C2'!I73,""))</f>
      </c>
      <c r="F81" s="1286"/>
      <c r="G81" s="1286">
        <f t="shared" si="2"/>
        <v>0</v>
      </c>
      <c r="H81" s="1287" t="str">
        <f>IF(ISBLANK('FBPQ T4'!E73)," ",'FBPQ T4'!AE73)</f>
        <v> </v>
      </c>
      <c r="I81" s="1288" t="str">
        <f t="shared" si="3"/>
        <v> </v>
      </c>
      <c r="J81"/>
      <c r="K81" s="32"/>
      <c r="L81" s="33"/>
      <c r="M81" s="32"/>
      <c r="N81" s="42"/>
      <c r="O81" s="41"/>
    </row>
    <row r="82" spans="1:15" ht="12.75">
      <c r="A82" s="26"/>
      <c r="B82" s="21"/>
      <c r="C82" s="22" t="s">
        <v>236</v>
      </c>
      <c r="D82" s="26" t="s">
        <v>18</v>
      </c>
      <c r="E82" s="1285">
        <f>IF(ISNUMBER('FBPQ C2'!K74),'FBPQ C2'!K74,IF(ISNUMBER('FBPQ C2'!I74),'FBPQ C2'!I74,""))</f>
        <v>93.23375128924336</v>
      </c>
      <c r="F82" s="1286" t="s">
        <v>58</v>
      </c>
      <c r="G82" s="1286">
        <f t="shared" si="2"/>
        <v>93.23375128924336</v>
      </c>
      <c r="H82" s="1287">
        <f>IF(ISBLANK('FBPQ T4'!E74)," ",'FBPQ T4'!AE74)</f>
        <v>1753.5</v>
      </c>
      <c r="I82" s="1288">
        <f t="shared" si="3"/>
        <v>163485.38288568822</v>
      </c>
      <c r="J82" t="s">
        <v>880</v>
      </c>
      <c r="K82" s="32"/>
      <c r="L82" s="32"/>
      <c r="M82" s="32"/>
      <c r="N82" s="42"/>
      <c r="O82" s="41"/>
    </row>
    <row r="83" spans="1:15" ht="12.75">
      <c r="A83" s="26"/>
      <c r="B83" s="21"/>
      <c r="C83" s="22" t="s">
        <v>381</v>
      </c>
      <c r="D83" s="26" t="s">
        <v>18</v>
      </c>
      <c r="E83" s="1285">
        <f>IF(ISNUMBER('FBPQ C2'!K75),'FBPQ C2'!K75,IF(ISNUMBER('FBPQ C2'!I75),'FBPQ C2'!I75,""))</f>
        <v>148.5235340305388</v>
      </c>
      <c r="F83" s="1286" t="s">
        <v>58</v>
      </c>
      <c r="G83" s="1286">
        <f t="shared" si="2"/>
        <v>148.5235340305388</v>
      </c>
      <c r="H83" s="1287">
        <f>IF(ISBLANK('FBPQ T4'!E75)," ",'FBPQ T4'!AE75)</f>
        <v>933</v>
      </c>
      <c r="I83" s="1288">
        <f t="shared" si="3"/>
        <v>138572.4572504927</v>
      </c>
      <c r="J83" t="s">
        <v>880</v>
      </c>
      <c r="K83" s="32"/>
      <c r="L83" s="33"/>
      <c r="M83" s="32"/>
      <c r="N83" s="42"/>
      <c r="O83" s="41"/>
    </row>
    <row r="84" spans="1:15" ht="12.75">
      <c r="A84" s="26"/>
      <c r="B84" s="21"/>
      <c r="C84" s="22" t="s">
        <v>382</v>
      </c>
      <c r="D84" s="26" t="s">
        <v>18</v>
      </c>
      <c r="E84" s="1285">
        <f>IF(ISNUMBER('FBPQ C2'!K76),'FBPQ C2'!K76,IF(ISNUMBER('FBPQ C2'!I76),'FBPQ C2'!I76,""))</f>
        <v>175.86728279366315</v>
      </c>
      <c r="F84" s="1286" t="s">
        <v>58</v>
      </c>
      <c r="G84" s="1286">
        <f aca="true" t="shared" si="4" ref="G84:G147">IF(ISNUMBER(E84),E84,IF(H84&gt;0,F84," "))</f>
        <v>175.86728279366315</v>
      </c>
      <c r="H84" s="1287">
        <f>IF(ISBLANK('FBPQ T4'!E76)," ",'FBPQ T4'!AE76)</f>
        <v>0</v>
      </c>
      <c r="I84" s="1288">
        <f t="shared" si="3"/>
        <v>0</v>
      </c>
      <c r="J84" t="s">
        <v>880</v>
      </c>
      <c r="K84" s="32"/>
      <c r="L84" s="33"/>
      <c r="M84" s="32"/>
      <c r="N84" s="42"/>
      <c r="O84" s="41"/>
    </row>
    <row r="85" spans="1:15" ht="12.75">
      <c r="A85" s="26"/>
      <c r="B85" s="21"/>
      <c r="C85" s="22" t="s">
        <v>383</v>
      </c>
      <c r="D85" s="26" t="s">
        <v>18</v>
      </c>
      <c r="E85" s="1285">
        <f>IF(ISNUMBER('FBPQ C2'!K77),'FBPQ C2'!K77,IF(ISNUMBER('FBPQ C2'!I77),'FBPQ C2'!I77,""))</f>
        <v>175.86728279366315</v>
      </c>
      <c r="F85" s="1286" t="s">
        <v>58</v>
      </c>
      <c r="G85" s="1286">
        <f t="shared" si="4"/>
        <v>175.86728279366315</v>
      </c>
      <c r="H85" s="1287">
        <f>IF(ISBLANK('FBPQ T4'!E77)," ",'FBPQ T4'!AE77)</f>
        <v>0</v>
      </c>
      <c r="I85" s="1288">
        <f aca="true" t="shared" si="5" ref="I85:I148">IF(ISERROR(G85*H85)," ",G85*H85)</f>
        <v>0</v>
      </c>
      <c r="J85" t="s">
        <v>880</v>
      </c>
      <c r="K85" s="32"/>
      <c r="L85" s="33"/>
      <c r="M85" s="32"/>
      <c r="N85" s="42"/>
      <c r="O85" s="43"/>
    </row>
    <row r="86" spans="1:15" ht="12.75">
      <c r="A86" s="26"/>
      <c r="B86" s="21"/>
      <c r="C86" s="22"/>
      <c r="D86" s="26"/>
      <c r="E86" s="1285">
        <f>IF(ISNUMBER('FBPQ C2'!K78),'FBPQ C2'!K78,IF(ISNUMBER('FBPQ C2'!I78),'FBPQ C2'!I78,""))</f>
      </c>
      <c r="F86" s="1286"/>
      <c r="G86" s="1286">
        <f t="shared" si="4"/>
        <v>0</v>
      </c>
      <c r="H86" s="1287" t="str">
        <f>IF(ISBLANK('FBPQ T4'!E78)," ",'FBPQ T4'!AE78)</f>
        <v> </v>
      </c>
      <c r="I86" s="1288" t="str">
        <f t="shared" si="5"/>
        <v> </v>
      </c>
      <c r="J86"/>
      <c r="K86" s="32"/>
      <c r="L86" s="33"/>
      <c r="M86" s="32"/>
      <c r="N86" s="42"/>
      <c r="O86" s="43"/>
    </row>
    <row r="87" spans="1:15" ht="12.75">
      <c r="A87" s="26"/>
      <c r="B87" s="21" t="s">
        <v>361</v>
      </c>
      <c r="C87" s="22"/>
      <c r="D87" s="26"/>
      <c r="E87" s="1285">
        <f>IF(ISNUMBER('FBPQ C2'!K79),'FBPQ C2'!K79,IF(ISNUMBER('FBPQ C2'!I79),'FBPQ C2'!I79,""))</f>
      </c>
      <c r="F87" s="1286"/>
      <c r="G87" s="1286">
        <f t="shared" si="4"/>
        <v>0</v>
      </c>
      <c r="H87" s="1287" t="str">
        <f>IF(ISBLANK('FBPQ T4'!E79)," ",'FBPQ T4'!AE79)</f>
        <v> </v>
      </c>
      <c r="I87" s="1288" t="str">
        <f t="shared" si="5"/>
        <v> </v>
      </c>
      <c r="J87"/>
      <c r="K87" s="32"/>
      <c r="L87" s="33"/>
      <c r="M87" s="32"/>
      <c r="N87" s="42"/>
      <c r="O87" s="41"/>
    </row>
    <row r="88" spans="1:15" ht="12.75">
      <c r="A88" s="26"/>
      <c r="B88" s="21"/>
      <c r="C88" s="22" t="s">
        <v>384</v>
      </c>
      <c r="D88" s="26" t="s">
        <v>360</v>
      </c>
      <c r="E88" s="1289">
        <f>IF(ISNUMBER('FBPQ C2'!K80),'FBPQ C2'!K80,IF(ISNUMBER('FBPQ C2'!I80),'FBPQ C2'!I80,""))</f>
        <v>0</v>
      </c>
      <c r="F88" s="1286" t="s">
        <v>58</v>
      </c>
      <c r="G88" s="1286">
        <f t="shared" si="4"/>
        <v>0</v>
      </c>
      <c r="H88" s="1287">
        <f>IF(ISBLANK('FBPQ T4'!E80)," ",'FBPQ T4'!AE80)</f>
        <v>28125</v>
      </c>
      <c r="I88" s="1288">
        <f t="shared" si="5"/>
        <v>0</v>
      </c>
      <c r="J88" t="s">
        <v>880</v>
      </c>
      <c r="K88" s="32"/>
      <c r="L88" s="32"/>
      <c r="M88" s="32"/>
      <c r="N88" s="42"/>
      <c r="O88" s="41"/>
    </row>
    <row r="89" spans="1:15" ht="12.75">
      <c r="A89" s="26"/>
      <c r="B89" s="21"/>
      <c r="C89" s="22" t="s">
        <v>385</v>
      </c>
      <c r="D89" s="26" t="s">
        <v>360</v>
      </c>
      <c r="E89" s="1289">
        <f>IF(ISNUMBER('FBPQ C2'!K81),'FBPQ C2'!K81,IF(ISNUMBER('FBPQ C2'!I81),'FBPQ C2'!I81,""))</f>
        <v>0</v>
      </c>
      <c r="F89" s="1286" t="s">
        <v>58</v>
      </c>
      <c r="G89" s="1286">
        <f t="shared" si="4"/>
        <v>0</v>
      </c>
      <c r="H89" s="1287">
        <f>IF(ISBLANK('FBPQ T4'!E81)," ",'FBPQ T4'!AE81)</f>
        <v>1287</v>
      </c>
      <c r="I89" s="1288">
        <f t="shared" si="5"/>
        <v>0</v>
      </c>
      <c r="J89" t="s">
        <v>880</v>
      </c>
      <c r="K89" s="32"/>
      <c r="L89" s="32"/>
      <c r="M89" s="32"/>
      <c r="N89" s="42"/>
      <c r="O89" s="41"/>
    </row>
    <row r="90" spans="1:15" ht="12.75">
      <c r="A90" s="26"/>
      <c r="B90" s="21"/>
      <c r="C90" s="22" t="s">
        <v>386</v>
      </c>
      <c r="D90" s="26" t="s">
        <v>360</v>
      </c>
      <c r="E90" s="1285">
        <f>IF(ISNUMBER('FBPQ C2'!K82),'FBPQ C2'!K82,IF(ISNUMBER('FBPQ C2'!I82),'FBPQ C2'!I82,""))</f>
        <v>0</v>
      </c>
      <c r="F90" s="1286" t="s">
        <v>58</v>
      </c>
      <c r="G90" s="1286">
        <f t="shared" si="4"/>
        <v>0</v>
      </c>
      <c r="H90" s="1287">
        <f>IF(ISBLANK('FBPQ T4'!E82)," ",'FBPQ T4'!AE82)</f>
        <v>0</v>
      </c>
      <c r="I90" s="1288">
        <f t="shared" si="5"/>
        <v>0</v>
      </c>
      <c r="J90" t="s">
        <v>880</v>
      </c>
      <c r="K90" s="32"/>
      <c r="L90" s="33"/>
      <c r="M90" s="32"/>
      <c r="N90" s="42"/>
      <c r="O90" s="41"/>
    </row>
    <row r="91" spans="1:15" ht="12.75">
      <c r="A91" s="26"/>
      <c r="B91" s="21"/>
      <c r="C91" s="22" t="s">
        <v>387</v>
      </c>
      <c r="D91" s="26" t="s">
        <v>360</v>
      </c>
      <c r="E91" s="1285">
        <f>IF(ISNUMBER('FBPQ C2'!K83),'FBPQ C2'!K83,IF(ISNUMBER('FBPQ C2'!I83),'FBPQ C2'!I83,""))</f>
        <v>0</v>
      </c>
      <c r="F91" s="1286" t="s">
        <v>58</v>
      </c>
      <c r="G91" s="1286">
        <f t="shared" si="4"/>
        <v>0</v>
      </c>
      <c r="H91" s="1287">
        <f>IF(ISBLANK('FBPQ T4'!E83)," ",'FBPQ T4'!AE83)</f>
        <v>0</v>
      </c>
      <c r="I91" s="1288">
        <f t="shared" si="5"/>
        <v>0</v>
      </c>
      <c r="J91" t="s">
        <v>880</v>
      </c>
      <c r="K91" s="32"/>
      <c r="L91" s="33"/>
      <c r="M91" s="32"/>
      <c r="N91" s="42"/>
      <c r="O91" s="43"/>
    </row>
    <row r="92" spans="1:15" ht="12.75">
      <c r="A92" s="26"/>
      <c r="B92" s="21"/>
      <c r="C92" s="22"/>
      <c r="D92" s="26"/>
      <c r="E92" s="1285">
        <f>IF(ISNUMBER('FBPQ C2'!K84),'FBPQ C2'!K84,IF(ISNUMBER('FBPQ C2'!I84),'FBPQ C2'!I84,""))</f>
      </c>
      <c r="F92" s="1286"/>
      <c r="G92" s="1286">
        <f t="shared" si="4"/>
        <v>0</v>
      </c>
      <c r="H92" s="1287" t="str">
        <f>IF(ISBLANK('FBPQ T4'!E84)," ",'FBPQ T4'!AE84)</f>
        <v> </v>
      </c>
      <c r="I92" s="1288" t="str">
        <f t="shared" si="5"/>
        <v> </v>
      </c>
      <c r="J92"/>
      <c r="K92" s="32"/>
      <c r="L92" s="32"/>
      <c r="M92" s="32"/>
      <c r="N92" s="42"/>
      <c r="O92" s="43"/>
    </row>
    <row r="93" spans="1:15" ht="12.75">
      <c r="A93" s="26"/>
      <c r="B93" s="21" t="s">
        <v>390</v>
      </c>
      <c r="C93" s="22"/>
      <c r="D93" s="26"/>
      <c r="E93" s="1285">
        <f>IF(ISNUMBER('FBPQ C2'!K85),'FBPQ C2'!K85,IF(ISNUMBER('FBPQ C2'!I85),'FBPQ C2'!I85,""))</f>
      </c>
      <c r="F93" s="1286"/>
      <c r="G93" s="1286">
        <f t="shared" si="4"/>
        <v>0</v>
      </c>
      <c r="H93" s="1287" t="str">
        <f>IF(ISBLANK('FBPQ T4'!E85)," ",'FBPQ T4'!AE85)</f>
        <v> </v>
      </c>
      <c r="I93" s="1288" t="str">
        <f t="shared" si="5"/>
        <v> </v>
      </c>
      <c r="J93"/>
      <c r="K93" s="32"/>
      <c r="L93" s="33"/>
      <c r="M93" s="32"/>
      <c r="N93" s="42"/>
      <c r="O93" s="41"/>
    </row>
    <row r="94" spans="1:15" ht="12.75">
      <c r="A94" s="26"/>
      <c r="B94" s="21"/>
      <c r="C94" s="22" t="s">
        <v>92</v>
      </c>
      <c r="D94" s="26" t="s">
        <v>18</v>
      </c>
      <c r="E94" s="1285">
        <f>IF(ISNUMBER('FBPQ C2'!K86),'FBPQ C2'!K86,IF(ISNUMBER('FBPQ C2'!I86),'FBPQ C2'!I86,""))</f>
        <v>243.56414096492253</v>
      </c>
      <c r="F94" s="1286" t="s">
        <v>58</v>
      </c>
      <c r="G94" s="1286">
        <f t="shared" si="4"/>
        <v>243.56414096492253</v>
      </c>
      <c r="H94" s="1287">
        <f>IF(ISBLANK('FBPQ T4'!E86)," ",'FBPQ T4'!AE86)</f>
        <v>1562.6</v>
      </c>
      <c r="I94" s="1288">
        <f t="shared" si="5"/>
        <v>380593.32667178795</v>
      </c>
      <c r="J94" t="s">
        <v>880</v>
      </c>
      <c r="K94" s="32"/>
      <c r="L94" s="33"/>
      <c r="M94" s="32"/>
      <c r="N94" s="42"/>
      <c r="O94" s="41"/>
    </row>
    <row r="95" spans="1:15" ht="12.75">
      <c r="A95" s="26"/>
      <c r="B95" s="21"/>
      <c r="C95" s="22" t="s">
        <v>93</v>
      </c>
      <c r="D95" s="26" t="s">
        <v>18</v>
      </c>
      <c r="E95" s="1285">
        <f>IF(ISNUMBER('FBPQ C2'!K87),'FBPQ C2'!K87,IF(ISNUMBER('FBPQ C2'!I87),'FBPQ C2'!I87,""))</f>
        <v>243.56414096492253</v>
      </c>
      <c r="F95" s="1286" t="s">
        <v>58</v>
      </c>
      <c r="G95" s="1286">
        <f t="shared" si="4"/>
        <v>243.56414096492253</v>
      </c>
      <c r="H95" s="1287">
        <f>IF(ISBLANK('FBPQ T4'!E87)," ",'FBPQ T4'!AE87)</f>
        <v>156</v>
      </c>
      <c r="I95" s="1288">
        <f t="shared" si="5"/>
        <v>37996.00599052791</v>
      </c>
      <c r="J95" t="s">
        <v>880</v>
      </c>
      <c r="K95" s="32"/>
      <c r="L95" s="33"/>
      <c r="M95" s="32"/>
      <c r="N95" s="42"/>
      <c r="O95" s="41"/>
    </row>
    <row r="96" spans="1:15" ht="12.75">
      <c r="A96" s="26"/>
      <c r="B96" s="21"/>
      <c r="C96" s="22" t="s">
        <v>94</v>
      </c>
      <c r="D96" s="26" t="s">
        <v>18</v>
      </c>
      <c r="E96" s="1285">
        <f>IF(ISNUMBER('FBPQ C2'!K88),'FBPQ C2'!K88,IF(ISNUMBER('FBPQ C2'!I88),'FBPQ C2'!I88,""))</f>
        <v>0</v>
      </c>
      <c r="F96" s="1286" t="s">
        <v>58</v>
      </c>
      <c r="G96" s="1286">
        <f t="shared" si="4"/>
        <v>0</v>
      </c>
      <c r="H96" s="1287">
        <f>IF(ISBLANK('FBPQ T4'!E88)," ",'FBPQ T4'!AE88)</f>
        <v>0</v>
      </c>
      <c r="I96" s="1288">
        <f t="shared" si="5"/>
        <v>0</v>
      </c>
      <c r="J96" t="s">
        <v>880</v>
      </c>
      <c r="K96" s="32"/>
      <c r="L96" s="33"/>
      <c r="M96" s="32"/>
      <c r="N96" s="42"/>
      <c r="O96" s="41"/>
    </row>
    <row r="97" spans="1:15" ht="12.75">
      <c r="A97" s="26"/>
      <c r="B97" s="21"/>
      <c r="C97" s="22" t="s">
        <v>266</v>
      </c>
      <c r="D97" s="26" t="s">
        <v>18</v>
      </c>
      <c r="E97" s="1285">
        <f>IF(ISNUMBER('FBPQ C2'!K89),'FBPQ C2'!K89,IF(ISNUMBER('FBPQ C2'!I89),'FBPQ C2'!I89,""))</f>
        <v>1143.1373381588105</v>
      </c>
      <c r="F97" s="1286" t="s">
        <v>58</v>
      </c>
      <c r="G97" s="1286">
        <f t="shared" si="4"/>
        <v>1143.1373381588105</v>
      </c>
      <c r="H97" s="1287">
        <f>IF(ISBLANK('FBPQ T4'!E89)," ",'FBPQ T4'!AE89)</f>
        <v>0</v>
      </c>
      <c r="I97" s="1288">
        <f t="shared" si="5"/>
        <v>0</v>
      </c>
      <c r="J97" t="s">
        <v>880</v>
      </c>
      <c r="K97" s="32"/>
      <c r="L97" s="33"/>
      <c r="M97" s="32"/>
      <c r="N97" s="42"/>
      <c r="O97" s="41"/>
    </row>
    <row r="98" spans="1:15" ht="12.75">
      <c r="A98" s="26"/>
      <c r="B98" s="21"/>
      <c r="C98" s="22" t="s">
        <v>260</v>
      </c>
      <c r="D98" s="26" t="s">
        <v>18</v>
      </c>
      <c r="E98" s="1285">
        <f>IF(ISNUMBER('FBPQ C2'!K90),'FBPQ C2'!K90,IF(ISNUMBER('FBPQ C2'!I90),'FBPQ C2'!I90,""))</f>
        <v>1143.1373381588105</v>
      </c>
      <c r="F98" s="1286" t="s">
        <v>58</v>
      </c>
      <c r="G98" s="1286">
        <f t="shared" si="4"/>
        <v>1143.1373381588105</v>
      </c>
      <c r="H98" s="1287">
        <f>IF(ISBLANK('FBPQ T4'!E90)," ",'FBPQ T4'!AE90)</f>
        <v>0</v>
      </c>
      <c r="I98" s="1288">
        <f t="shared" si="5"/>
        <v>0</v>
      </c>
      <c r="J98" t="s">
        <v>880</v>
      </c>
      <c r="K98" s="32"/>
      <c r="L98" s="33"/>
      <c r="M98" s="32"/>
      <c r="N98" s="42"/>
      <c r="O98" s="41"/>
    </row>
    <row r="99" spans="1:15" ht="12.75">
      <c r="A99" s="26"/>
      <c r="B99" s="21"/>
      <c r="C99" s="22" t="s">
        <v>261</v>
      </c>
      <c r="D99" s="26" t="s">
        <v>18</v>
      </c>
      <c r="E99" s="1285">
        <f>IF(ISNUMBER('FBPQ C2'!K91),'FBPQ C2'!K91,IF(ISNUMBER('FBPQ C2'!I91),'FBPQ C2'!I91,""))</f>
        <v>0</v>
      </c>
      <c r="F99" s="1286" t="s">
        <v>58</v>
      </c>
      <c r="G99" s="1286">
        <f t="shared" si="4"/>
        <v>0</v>
      </c>
      <c r="H99" s="1287">
        <f>IF(ISBLANK('FBPQ T4'!E91)," ",'FBPQ T4'!AE91)</f>
        <v>0</v>
      </c>
      <c r="I99" s="1288">
        <f t="shared" si="5"/>
        <v>0</v>
      </c>
      <c r="J99" t="s">
        <v>880</v>
      </c>
      <c r="K99" s="32"/>
      <c r="L99" s="33"/>
      <c r="M99" s="32"/>
      <c r="N99" s="42"/>
      <c r="O99" s="43"/>
    </row>
    <row r="100" spans="1:15" ht="12.75">
      <c r="A100" s="26"/>
      <c r="B100" s="21"/>
      <c r="C100" s="22"/>
      <c r="D100" s="26"/>
      <c r="E100" s="1285">
        <f>IF(ISNUMBER('FBPQ C2'!K92),'FBPQ C2'!K92,IF(ISNUMBER('FBPQ C2'!I92),'FBPQ C2'!I92,""))</f>
      </c>
      <c r="F100" s="1286"/>
      <c r="G100" s="1286">
        <f t="shared" si="4"/>
        <v>0</v>
      </c>
      <c r="H100" s="1287" t="str">
        <f>IF(ISBLANK('FBPQ T4'!E92)," ",'FBPQ T4'!AE92)</f>
        <v> </v>
      </c>
      <c r="I100" s="1288" t="str">
        <f t="shared" si="5"/>
        <v> </v>
      </c>
      <c r="J100"/>
      <c r="K100" s="32"/>
      <c r="L100" s="32"/>
      <c r="M100" s="32"/>
      <c r="N100" s="42"/>
      <c r="O100" s="43"/>
    </row>
    <row r="101" spans="1:15" ht="12.75">
      <c r="A101" s="26"/>
      <c r="B101" s="21" t="s">
        <v>682</v>
      </c>
      <c r="C101" s="22"/>
      <c r="D101" s="26"/>
      <c r="E101" s="1285">
        <f>IF(ISNUMBER('FBPQ C2'!K93),'FBPQ C2'!K93,IF(ISNUMBER('FBPQ C2'!I93),'FBPQ C2'!I93,""))</f>
      </c>
      <c r="F101" s="1286"/>
      <c r="G101" s="1286">
        <f t="shared" si="4"/>
        <v>0</v>
      </c>
      <c r="H101" s="1287" t="str">
        <f>IF(ISBLANK('FBPQ T4'!E93)," ",'FBPQ T4'!AE93)</f>
        <v> </v>
      </c>
      <c r="I101" s="1288" t="str">
        <f t="shared" si="5"/>
        <v> </v>
      </c>
      <c r="J101"/>
      <c r="K101" s="32"/>
      <c r="L101" s="33"/>
      <c r="M101" s="32"/>
      <c r="N101" s="42"/>
      <c r="O101" s="41"/>
    </row>
    <row r="102" spans="1:15" ht="12.75">
      <c r="A102" s="26"/>
      <c r="B102" s="21"/>
      <c r="C102" s="22" t="s">
        <v>301</v>
      </c>
      <c r="D102" s="26" t="s">
        <v>18</v>
      </c>
      <c r="E102" s="1285">
        <f>IF(ISNUMBER('FBPQ C2'!K94),'FBPQ C2'!K94,IF(ISNUMBER('FBPQ C2'!I94),'FBPQ C2'!I94,""))</f>
        <v>0</v>
      </c>
      <c r="F102" s="1286" t="s">
        <v>58</v>
      </c>
      <c r="G102" s="1286">
        <f t="shared" si="4"/>
        <v>0</v>
      </c>
      <c r="H102" s="1287">
        <f>IF(ISBLANK('FBPQ T4'!E94)," ",'FBPQ T4'!AE94)</f>
        <v>0</v>
      </c>
      <c r="I102" s="1288">
        <f t="shared" si="5"/>
        <v>0</v>
      </c>
      <c r="J102" t="s">
        <v>880</v>
      </c>
      <c r="K102" s="32"/>
      <c r="L102" s="32"/>
      <c r="M102" s="32"/>
      <c r="N102" s="42"/>
      <c r="O102" s="43"/>
    </row>
    <row r="103" spans="1:15" ht="12.75">
      <c r="A103" s="26"/>
      <c r="B103" s="21"/>
      <c r="C103" s="22"/>
      <c r="D103" s="26"/>
      <c r="E103" s="1285">
        <f>IF(ISNUMBER('FBPQ C2'!K95),'FBPQ C2'!K95,IF(ISNUMBER('FBPQ C2'!I95),'FBPQ C2'!I95,""))</f>
      </c>
      <c r="F103" s="1286"/>
      <c r="G103" s="1286">
        <f t="shared" si="4"/>
        <v>0</v>
      </c>
      <c r="H103" s="1287" t="str">
        <f>IF(ISBLANK('FBPQ T4'!E95)," ",'FBPQ T4'!AE95)</f>
        <v> </v>
      </c>
      <c r="I103" s="1288" t="str">
        <f t="shared" si="5"/>
        <v> </v>
      </c>
      <c r="J103"/>
      <c r="K103" s="32"/>
      <c r="L103" s="33"/>
      <c r="M103" s="32"/>
      <c r="N103" s="42"/>
      <c r="O103" s="43"/>
    </row>
    <row r="104" spans="1:15" ht="12.75">
      <c r="A104" s="26"/>
      <c r="B104" s="21" t="s">
        <v>216</v>
      </c>
      <c r="C104" s="22"/>
      <c r="D104" s="26"/>
      <c r="E104" s="1285">
        <f>IF(ISNUMBER('FBPQ C2'!K96),'FBPQ C2'!K96,IF(ISNUMBER('FBPQ C2'!I96),'FBPQ C2'!I96,""))</f>
      </c>
      <c r="F104" s="1286"/>
      <c r="G104" s="1286">
        <f t="shared" si="4"/>
        <v>0</v>
      </c>
      <c r="H104" s="1287" t="str">
        <f>IF(ISBLANK('FBPQ T4'!E96)," ",'FBPQ T4'!AE96)</f>
        <v> </v>
      </c>
      <c r="I104" s="1288" t="str">
        <f t="shared" si="5"/>
        <v> </v>
      </c>
      <c r="J104"/>
      <c r="K104" s="32"/>
      <c r="L104" s="33"/>
      <c r="M104" s="32"/>
      <c r="N104" s="42"/>
      <c r="O104" s="41"/>
    </row>
    <row r="105" spans="1:15" ht="12.75">
      <c r="A105" s="26"/>
      <c r="B105" s="21"/>
      <c r="C105" s="22" t="s">
        <v>302</v>
      </c>
      <c r="D105" s="26" t="s">
        <v>360</v>
      </c>
      <c r="E105" s="1285">
        <f>IF(ISNUMBER('FBPQ C2'!K97),'FBPQ C2'!K97,IF(ISNUMBER('FBPQ C2'!I97),'FBPQ C2'!I97,""))</f>
        <v>175.26499757861637</v>
      </c>
      <c r="F105" s="1286" t="s">
        <v>58</v>
      </c>
      <c r="G105" s="1286">
        <f t="shared" si="4"/>
        <v>175.26499757861637</v>
      </c>
      <c r="H105" s="1287">
        <f>IF(ISBLANK('FBPQ T4'!E97)," ",'FBPQ T4'!AE97)</f>
        <v>414</v>
      </c>
      <c r="I105" s="1288">
        <f t="shared" si="5"/>
        <v>72559.70899754718</v>
      </c>
      <c r="J105" t="s">
        <v>4</v>
      </c>
      <c r="K105" s="32"/>
      <c r="L105" s="33"/>
      <c r="M105" s="47"/>
      <c r="N105" s="42"/>
      <c r="O105" s="41"/>
    </row>
    <row r="106" spans="1:15" ht="12.75">
      <c r="A106" s="26"/>
      <c r="B106" s="21"/>
      <c r="C106" s="22" t="s">
        <v>303</v>
      </c>
      <c r="D106" s="26" t="s">
        <v>360</v>
      </c>
      <c r="E106" s="1285">
        <f>IF(ISNUMBER('FBPQ C2'!K98),'FBPQ C2'!K98,IF(ISNUMBER('FBPQ C2'!I98),'FBPQ C2'!I98,""))</f>
        <v>175.26499757861637</v>
      </c>
      <c r="F106" s="1286" t="s">
        <v>58</v>
      </c>
      <c r="G106" s="1286">
        <f t="shared" si="4"/>
        <v>175.26499757861637</v>
      </c>
      <c r="H106" s="1287">
        <f>IF(ISBLANK('FBPQ T4'!E98)," ",'FBPQ T4'!AE98)</f>
        <v>575</v>
      </c>
      <c r="I106" s="1288">
        <f t="shared" si="5"/>
        <v>100777.37360770442</v>
      </c>
      <c r="J106" t="s">
        <v>4</v>
      </c>
      <c r="K106" s="32"/>
      <c r="L106" s="33"/>
      <c r="M106" s="47"/>
      <c r="N106" s="42"/>
      <c r="O106" s="41"/>
    </row>
    <row r="107" spans="1:15" ht="12.75">
      <c r="A107" s="26"/>
      <c r="B107" s="21"/>
      <c r="C107" s="22" t="s">
        <v>304</v>
      </c>
      <c r="D107" s="26" t="s">
        <v>360</v>
      </c>
      <c r="E107" s="1285">
        <f>IF(ISNUMBER('FBPQ C2'!K99),'FBPQ C2'!K99,IF(ISNUMBER('FBPQ C2'!I99),'FBPQ C2'!I99,""))</f>
        <v>0</v>
      </c>
      <c r="F107" s="1286" t="s">
        <v>58</v>
      </c>
      <c r="G107" s="1286">
        <f t="shared" si="4"/>
        <v>0</v>
      </c>
      <c r="H107" s="1287">
        <f>IF(ISBLANK('FBPQ T4'!E99)," ",'FBPQ T4'!AE99)</f>
        <v>0</v>
      </c>
      <c r="I107" s="1288">
        <f t="shared" si="5"/>
        <v>0</v>
      </c>
      <c r="J107" t="s">
        <v>4</v>
      </c>
      <c r="K107" s="32"/>
      <c r="L107" s="33"/>
      <c r="M107" s="47"/>
      <c r="N107" s="42"/>
      <c r="O107" s="41"/>
    </row>
    <row r="108" spans="1:15" ht="12.75">
      <c r="A108" s="26"/>
      <c r="B108" s="21"/>
      <c r="C108" s="22" t="s">
        <v>305</v>
      </c>
      <c r="D108" s="26" t="s">
        <v>360</v>
      </c>
      <c r="E108" s="1285">
        <f>IF(ISNUMBER('FBPQ C2'!K100),'FBPQ C2'!K100,IF(ISNUMBER('FBPQ C2'!I100),'FBPQ C2'!I100,""))</f>
        <v>0</v>
      </c>
      <c r="F108" s="1286" t="s">
        <v>58</v>
      </c>
      <c r="G108" s="1286">
        <f t="shared" si="4"/>
        <v>0</v>
      </c>
      <c r="H108" s="1287">
        <f>IF(ISBLANK('FBPQ T4'!E100)," ",'FBPQ T4'!AE100)</f>
        <v>0</v>
      </c>
      <c r="I108" s="1288">
        <f t="shared" si="5"/>
        <v>0</v>
      </c>
      <c r="J108" t="s">
        <v>4</v>
      </c>
      <c r="K108" s="32"/>
      <c r="L108" s="33"/>
      <c r="M108" s="47"/>
      <c r="N108" s="42"/>
      <c r="O108" s="41"/>
    </row>
    <row r="109" spans="1:15" ht="12.75">
      <c r="A109" s="26"/>
      <c r="B109" s="21"/>
      <c r="C109" s="22" t="s">
        <v>306</v>
      </c>
      <c r="D109" s="26" t="s">
        <v>360</v>
      </c>
      <c r="E109" s="1285">
        <f>IF(ISNUMBER('FBPQ C2'!K101),'FBPQ C2'!K101,IF(ISNUMBER('FBPQ C2'!I101),'FBPQ C2'!I101,""))</f>
        <v>557.5956520903197</v>
      </c>
      <c r="F109" s="1286" t="s">
        <v>58</v>
      </c>
      <c r="G109" s="1286">
        <f t="shared" si="4"/>
        <v>557.5956520903197</v>
      </c>
      <c r="H109" s="1287">
        <f>IF(ISBLANK('FBPQ T4'!E101)," ",'FBPQ T4'!AE101)</f>
        <v>54</v>
      </c>
      <c r="I109" s="1288">
        <f t="shared" si="5"/>
        <v>30110.165212877266</v>
      </c>
      <c r="J109" t="s">
        <v>4</v>
      </c>
      <c r="K109" s="32"/>
      <c r="L109" s="33"/>
      <c r="M109" s="47"/>
      <c r="N109" s="42"/>
      <c r="O109" s="44"/>
    </row>
    <row r="110" spans="1:15" ht="12.75">
      <c r="A110" s="26"/>
      <c r="B110" s="21"/>
      <c r="C110" s="22" t="s">
        <v>307</v>
      </c>
      <c r="D110" s="26" t="s">
        <v>360</v>
      </c>
      <c r="E110" s="1289">
        <f>E106</f>
        <v>175.26499757861637</v>
      </c>
      <c r="F110" s="1286" t="s">
        <v>58</v>
      </c>
      <c r="G110" s="1286">
        <f t="shared" si="4"/>
        <v>175.26499757861637</v>
      </c>
      <c r="H110" s="1287">
        <f>IF(ISBLANK('FBPQ T4'!E102)," ",'FBPQ T4'!AE102)</f>
        <v>2044</v>
      </c>
      <c r="I110" s="1288">
        <f t="shared" si="5"/>
        <v>358241.65505069186</v>
      </c>
      <c r="J110" t="s">
        <v>83</v>
      </c>
      <c r="K110" s="32"/>
      <c r="L110" s="33"/>
      <c r="M110" s="47"/>
      <c r="N110" s="42"/>
      <c r="O110" s="41"/>
    </row>
    <row r="111" spans="1:15" ht="12.75">
      <c r="A111" s="26"/>
      <c r="B111" s="21"/>
      <c r="C111" s="22" t="s">
        <v>308</v>
      </c>
      <c r="D111" s="26" t="s">
        <v>360</v>
      </c>
      <c r="E111" s="1285">
        <f>IF(ISNUMBER('FBPQ C2'!K103),'FBPQ C2'!K103,IF(ISNUMBER('FBPQ C2'!I103),'FBPQ C2'!I103,""))</f>
        <v>661.1887090783679</v>
      </c>
      <c r="F111" s="1286" t="s">
        <v>58</v>
      </c>
      <c r="G111" s="1286">
        <f t="shared" si="4"/>
        <v>661.1887090783679</v>
      </c>
      <c r="H111" s="1287">
        <f>IF(ISBLANK('FBPQ T4'!E103)," ",'FBPQ T4'!AE103)</f>
        <v>0</v>
      </c>
      <c r="I111" s="1288">
        <f t="shared" si="5"/>
        <v>0</v>
      </c>
      <c r="J111" t="s">
        <v>4</v>
      </c>
      <c r="K111" s="32"/>
      <c r="L111" s="33"/>
      <c r="M111" s="47"/>
      <c r="N111" s="42"/>
      <c r="O111" s="44"/>
    </row>
    <row r="112" spans="1:15" ht="12.75">
      <c r="A112" s="26"/>
      <c r="B112" s="21"/>
      <c r="C112" s="22" t="s">
        <v>309</v>
      </c>
      <c r="D112" s="26" t="s">
        <v>360</v>
      </c>
      <c r="E112" s="1285">
        <f>IF(ISNUMBER('FBPQ C2'!K104),'FBPQ C2'!K104,IF(ISNUMBER('FBPQ C2'!I104),'FBPQ C2'!I104,""))</f>
      </c>
      <c r="F112" s="1286" t="s">
        <v>58</v>
      </c>
      <c r="G112" s="1286" t="str">
        <f t="shared" si="4"/>
        <v> </v>
      </c>
      <c r="H112" s="1287">
        <f>IF(ISBLANK('FBPQ T4'!E104)," ",'FBPQ T4'!AE104)</f>
        <v>0</v>
      </c>
      <c r="I112" s="1288" t="str">
        <f t="shared" si="5"/>
        <v> </v>
      </c>
      <c r="J112" t="s">
        <v>83</v>
      </c>
      <c r="K112" s="32"/>
      <c r="L112" s="33"/>
      <c r="M112" s="47"/>
      <c r="N112" s="42"/>
      <c r="O112" s="43"/>
    </row>
    <row r="113" spans="1:15" ht="12.75">
      <c r="A113" s="26"/>
      <c r="B113" s="21"/>
      <c r="C113" s="22"/>
      <c r="D113" s="26"/>
      <c r="E113" s="1285">
        <f>IF(ISNUMBER('FBPQ C2'!K105),'FBPQ C2'!K105,IF(ISNUMBER('FBPQ C2'!I105),'FBPQ C2'!I105,""))</f>
      </c>
      <c r="F113" s="1286"/>
      <c r="G113" s="1286">
        <f t="shared" si="4"/>
        <v>0</v>
      </c>
      <c r="H113" s="1287" t="str">
        <f>IF(ISBLANK('FBPQ T4'!E105)," ",'FBPQ T4'!AE105)</f>
        <v> </v>
      </c>
      <c r="I113" s="1288" t="str">
        <f t="shared" si="5"/>
        <v> </v>
      </c>
      <c r="J113"/>
      <c r="K113" s="32"/>
      <c r="L113" s="33"/>
      <c r="M113" s="32"/>
      <c r="N113" s="42"/>
      <c r="O113" s="43"/>
    </row>
    <row r="114" spans="1:15" ht="12.75">
      <c r="A114" s="26"/>
      <c r="B114" s="21" t="s">
        <v>376</v>
      </c>
      <c r="C114" s="22"/>
      <c r="D114" s="26"/>
      <c r="E114" s="1285">
        <f>IF(ISNUMBER('FBPQ C2'!K106),'FBPQ C2'!K106,IF(ISNUMBER('FBPQ C2'!I106),'FBPQ C2'!I106,""))</f>
      </c>
      <c r="F114" s="1286"/>
      <c r="G114" s="1286">
        <f t="shared" si="4"/>
        <v>0</v>
      </c>
      <c r="H114" s="1287" t="str">
        <f>IF(ISBLANK('FBPQ T4'!E106)," ",'FBPQ T4'!AE106)</f>
        <v> </v>
      </c>
      <c r="I114" s="1288" t="str">
        <f t="shared" si="5"/>
        <v> </v>
      </c>
      <c r="J114"/>
      <c r="K114" s="32"/>
      <c r="L114" s="33"/>
      <c r="M114" s="32"/>
      <c r="N114" s="42"/>
      <c r="O114" s="41"/>
    </row>
    <row r="115" spans="1:15" ht="12.75">
      <c r="A115" s="26"/>
      <c r="B115" s="21"/>
      <c r="C115" s="22" t="s">
        <v>310</v>
      </c>
      <c r="D115" s="26" t="s">
        <v>360</v>
      </c>
      <c r="E115" s="1285">
        <f>IF(ISNUMBER('FBPQ C2'!K107),'FBPQ C2'!K107,IF(ISNUMBER('FBPQ C2'!I107),'FBPQ C2'!I107,""))</f>
        <v>504.594553166202</v>
      </c>
      <c r="F115" s="1286" t="s">
        <v>58</v>
      </c>
      <c r="G115" s="1286">
        <f t="shared" si="4"/>
        <v>504.594553166202</v>
      </c>
      <c r="H115" s="1287">
        <f>IF(ISBLANK('FBPQ T4'!E107)," ",'FBPQ T4'!AE107)</f>
        <v>0</v>
      </c>
      <c r="I115" s="1288">
        <f t="shared" si="5"/>
        <v>0</v>
      </c>
      <c r="J115" t="s">
        <v>83</v>
      </c>
      <c r="K115" s="32"/>
      <c r="L115" s="32"/>
      <c r="M115" s="47"/>
      <c r="N115" s="42"/>
      <c r="O115" s="41"/>
    </row>
    <row r="116" spans="1:15" ht="12.75">
      <c r="A116" s="26"/>
      <c r="B116" s="21"/>
      <c r="C116" s="22" t="s">
        <v>311</v>
      </c>
      <c r="D116" s="26" t="s">
        <v>360</v>
      </c>
      <c r="E116" s="1285">
        <f>IF(ISNUMBER('FBPQ C2'!K108),'FBPQ C2'!K108,IF(ISNUMBER('FBPQ C2'!I108),'FBPQ C2'!I108,""))</f>
        <v>541.9362364991031</v>
      </c>
      <c r="F116" s="1286" t="s">
        <v>58</v>
      </c>
      <c r="G116" s="1286">
        <f t="shared" si="4"/>
        <v>541.9362364991031</v>
      </c>
      <c r="H116" s="1287">
        <f>IF(ISBLANK('FBPQ T4'!E108)," ",'FBPQ T4'!AE108)</f>
        <v>717</v>
      </c>
      <c r="I116" s="1288">
        <f t="shared" si="5"/>
        <v>388568.2815698569</v>
      </c>
      <c r="J116" t="s">
        <v>83</v>
      </c>
      <c r="K116" s="32"/>
      <c r="L116" s="32"/>
      <c r="M116" s="47"/>
      <c r="N116" s="42"/>
      <c r="O116" s="44"/>
    </row>
    <row r="117" spans="1:15" ht="12.75">
      <c r="A117" s="26"/>
      <c r="B117" s="21"/>
      <c r="C117" s="22" t="s">
        <v>312</v>
      </c>
      <c r="D117" s="26" t="s">
        <v>360</v>
      </c>
      <c r="E117" s="1289">
        <f>E76</f>
        <v>11.322962042879682</v>
      </c>
      <c r="F117" s="1286" t="s">
        <v>58</v>
      </c>
      <c r="G117" s="1286">
        <f t="shared" si="4"/>
        <v>11.322962042879682</v>
      </c>
      <c r="H117" s="1287">
        <f>IF(ISBLANK('FBPQ T4'!E109)," ",'FBPQ T4'!AE109)</f>
        <v>651</v>
      </c>
      <c r="I117" s="1288">
        <f t="shared" si="5"/>
        <v>7371.2482899146735</v>
      </c>
      <c r="J117" t="s">
        <v>83</v>
      </c>
      <c r="K117" s="32"/>
      <c r="L117" s="32"/>
      <c r="M117" s="32"/>
      <c r="N117" s="42"/>
      <c r="O117" s="41"/>
    </row>
    <row r="118" spans="1:15" ht="12.75">
      <c r="A118" s="26"/>
      <c r="B118" s="21"/>
      <c r="C118" s="22" t="s">
        <v>570</v>
      </c>
      <c r="D118" s="26" t="s">
        <v>360</v>
      </c>
      <c r="E118" s="1285">
        <f>IF(ISNUMBER('FBPQ C2'!K110),'FBPQ C2'!K110,IF(ISNUMBER('FBPQ C2'!I110),'FBPQ C2'!I110,""))</f>
        <v>2117.5143590615103</v>
      </c>
      <c r="F118" s="1286" t="s">
        <v>58</v>
      </c>
      <c r="G118" s="1286">
        <f t="shared" si="4"/>
        <v>2117.5143590615103</v>
      </c>
      <c r="H118" s="1287">
        <f>IF(ISBLANK('FBPQ T4'!E110)," ",'FBPQ T4'!AE110)</f>
        <v>0</v>
      </c>
      <c r="I118" s="1288">
        <f t="shared" si="5"/>
        <v>0</v>
      </c>
      <c r="J118" t="s">
        <v>83</v>
      </c>
      <c r="K118" s="32"/>
      <c r="L118" s="32"/>
      <c r="M118" s="47"/>
      <c r="N118" s="42"/>
      <c r="O118" s="44"/>
    </row>
    <row r="119" spans="1:15" ht="12.75">
      <c r="A119" s="26"/>
      <c r="B119" s="21"/>
      <c r="C119" s="22" t="s">
        <v>707</v>
      </c>
      <c r="D119" s="26" t="s">
        <v>360</v>
      </c>
      <c r="E119" s="1285">
        <f>IF(ISNUMBER('FBPQ C2'!K111),'FBPQ C2'!K111,IF(ISNUMBER('FBPQ C2'!I111),'FBPQ C2'!I111,""))</f>
      </c>
      <c r="F119" s="1286" t="s">
        <v>58</v>
      </c>
      <c r="G119" s="1286" t="str">
        <f t="shared" si="4"/>
        <v> </v>
      </c>
      <c r="H119" s="1287">
        <f>IF(ISBLANK('FBPQ T4'!E111)," ",'FBPQ T4'!AE111)</f>
        <v>0</v>
      </c>
      <c r="I119" s="1288" t="str">
        <f t="shared" si="5"/>
        <v> </v>
      </c>
      <c r="J119" t="s">
        <v>83</v>
      </c>
      <c r="K119" s="32"/>
      <c r="L119" s="33"/>
      <c r="M119" s="32"/>
      <c r="N119" s="42"/>
      <c r="O119" s="43"/>
    </row>
    <row r="120" spans="1:15" ht="12.75">
      <c r="A120" s="26"/>
      <c r="B120" s="21"/>
      <c r="C120" s="22"/>
      <c r="D120" s="26"/>
      <c r="E120" s="1285">
        <f>IF(ISNUMBER('FBPQ C2'!K112),'FBPQ C2'!K112,IF(ISNUMBER('FBPQ C2'!I112),'FBPQ C2'!I112,""))</f>
      </c>
      <c r="F120" s="1286"/>
      <c r="G120" s="1286">
        <f t="shared" si="4"/>
        <v>0</v>
      </c>
      <c r="H120" s="1287" t="str">
        <f>IF(ISBLANK('FBPQ T4'!E112)," ",'FBPQ T4'!AE112)</f>
        <v> </v>
      </c>
      <c r="I120" s="1288" t="str">
        <f t="shared" si="5"/>
        <v> </v>
      </c>
      <c r="J120"/>
      <c r="K120" s="45"/>
      <c r="L120" s="45"/>
      <c r="M120" s="45"/>
      <c r="N120" s="46"/>
      <c r="O120" s="43"/>
    </row>
    <row r="121" spans="1:15" ht="12.75">
      <c r="A121" s="26" t="s">
        <v>708</v>
      </c>
      <c r="B121" s="21"/>
      <c r="C121" s="22"/>
      <c r="D121" s="26"/>
      <c r="E121" s="1285">
        <f>IF(ISNUMBER('FBPQ C2'!K113),'FBPQ C2'!K113,IF(ISNUMBER('FBPQ C2'!I113),'FBPQ C2'!I113,""))</f>
      </c>
      <c r="F121" s="1286"/>
      <c r="G121" s="1286">
        <f t="shared" si="4"/>
        <v>0</v>
      </c>
      <c r="H121" s="1287" t="str">
        <f>IF(ISBLANK('FBPQ T4'!E113)," ",'FBPQ T4'!AE113)</f>
        <v> </v>
      </c>
      <c r="I121" s="1288" t="str">
        <f t="shared" si="5"/>
        <v> </v>
      </c>
      <c r="J121"/>
      <c r="K121" s="31"/>
      <c r="L121" s="31"/>
      <c r="M121" s="47"/>
      <c r="N121" s="42"/>
      <c r="O121" s="43"/>
    </row>
    <row r="122" spans="1:15" ht="12.75">
      <c r="A122" s="26"/>
      <c r="B122" s="21" t="s">
        <v>65</v>
      </c>
      <c r="C122" s="22"/>
      <c r="D122" s="26"/>
      <c r="E122" s="1285">
        <f>IF(ISNUMBER('FBPQ C2'!K114),'FBPQ C2'!K114,IF(ISNUMBER('FBPQ C2'!I114),'FBPQ C2'!I114,""))</f>
      </c>
      <c r="F122" s="1286"/>
      <c r="G122" s="1286">
        <f t="shared" si="4"/>
        <v>0</v>
      </c>
      <c r="H122" s="1287" t="str">
        <f>IF(ISBLANK('FBPQ T4'!E114)," ",'FBPQ T4'!AE114)</f>
        <v> </v>
      </c>
      <c r="I122" s="1288" t="str">
        <f t="shared" si="5"/>
        <v> </v>
      </c>
      <c r="J122"/>
      <c r="K122" s="32"/>
      <c r="L122" s="33"/>
      <c r="M122" s="32"/>
      <c r="N122" s="42"/>
      <c r="O122" s="41"/>
    </row>
    <row r="123" spans="1:15" ht="12.75">
      <c r="A123" s="26"/>
      <c r="B123" s="21"/>
      <c r="C123" s="22" t="s">
        <v>589</v>
      </c>
      <c r="D123" s="26" t="s">
        <v>18</v>
      </c>
      <c r="E123" s="1285">
        <f>IF(ISNUMBER('FBPQ C2'!K115),'FBPQ C2'!K115,IF(ISNUMBER('FBPQ C2'!I115),'FBPQ C2'!I115,""))</f>
        <v>677.3299528416219</v>
      </c>
      <c r="F123" s="1286" t="s">
        <v>58</v>
      </c>
      <c r="G123" s="1286">
        <f t="shared" si="4"/>
        <v>677.3299528416219</v>
      </c>
      <c r="H123" s="1287">
        <f>IF(ISBLANK('FBPQ T4'!E115)," ",'FBPQ T4'!AE115)</f>
        <v>138</v>
      </c>
      <c r="I123" s="1288">
        <f t="shared" si="5"/>
        <v>93471.53349214382</v>
      </c>
      <c r="J123" t="s">
        <v>878</v>
      </c>
      <c r="K123" s="32"/>
      <c r="L123" s="33"/>
      <c r="M123" s="32"/>
      <c r="N123" s="42"/>
      <c r="O123" s="41"/>
    </row>
    <row r="124" spans="1:15" ht="12.75">
      <c r="A124" s="26"/>
      <c r="B124" s="21"/>
      <c r="C124" s="22" t="s">
        <v>590</v>
      </c>
      <c r="D124" s="26" t="s">
        <v>18</v>
      </c>
      <c r="E124" s="1285">
        <f>IF(ISNUMBER('FBPQ C2'!K116),'FBPQ C2'!K116,IF(ISNUMBER('FBPQ C2'!I116),'FBPQ C2'!I116,""))</f>
        <v>1163.9764065994295</v>
      </c>
      <c r="F124" s="1286" t="s">
        <v>58</v>
      </c>
      <c r="G124" s="1286">
        <f t="shared" si="4"/>
        <v>1163.9764065994295</v>
      </c>
      <c r="H124" s="1287">
        <f>IF(ISBLANK('FBPQ T4'!E116)," ",'FBPQ T4'!AE116)</f>
        <v>2246</v>
      </c>
      <c r="I124" s="1288">
        <f t="shared" si="5"/>
        <v>2614291.009222319</v>
      </c>
      <c r="J124" t="s">
        <v>878</v>
      </c>
      <c r="K124" s="32"/>
      <c r="L124" s="33"/>
      <c r="M124" s="32"/>
      <c r="N124" s="42"/>
      <c r="O124" s="43"/>
    </row>
    <row r="125" spans="1:15" ht="12.75">
      <c r="A125" s="26"/>
      <c r="B125" s="21"/>
      <c r="C125" s="22"/>
      <c r="D125" s="26"/>
      <c r="E125" s="1285">
        <f>IF(ISNUMBER('FBPQ C2'!K117),'FBPQ C2'!K117,IF(ISNUMBER('FBPQ C2'!I117),'FBPQ C2'!I117,""))</f>
      </c>
      <c r="F125" s="1286"/>
      <c r="G125" s="1286">
        <f t="shared" si="4"/>
        <v>0</v>
      </c>
      <c r="H125" s="1287" t="str">
        <f>IF(ISBLANK('FBPQ T4'!E117)," ",'FBPQ T4'!AE117)</f>
        <v> </v>
      </c>
      <c r="I125" s="1288" t="str">
        <f t="shared" si="5"/>
        <v> </v>
      </c>
      <c r="J125"/>
      <c r="K125" s="32"/>
      <c r="L125" s="33"/>
      <c r="M125" s="47"/>
      <c r="N125" s="42"/>
      <c r="O125" s="43"/>
    </row>
    <row r="126" spans="1:15" ht="12.75">
      <c r="A126" s="26"/>
      <c r="B126" s="21" t="s">
        <v>361</v>
      </c>
      <c r="C126" s="22"/>
      <c r="D126" s="26"/>
      <c r="E126" s="1285">
        <f>IF(ISNUMBER('FBPQ C2'!K118),'FBPQ C2'!K118,IF(ISNUMBER('FBPQ C2'!I118),'FBPQ C2'!I118,""))</f>
      </c>
      <c r="F126" s="1286"/>
      <c r="G126" s="1286">
        <f t="shared" si="4"/>
        <v>0</v>
      </c>
      <c r="H126" s="1287" t="str">
        <f>IF(ISBLANK('FBPQ T4'!E118)," ",'FBPQ T4'!AE118)</f>
        <v> </v>
      </c>
      <c r="I126" s="1288" t="str">
        <f t="shared" si="5"/>
        <v> </v>
      </c>
      <c r="J126"/>
      <c r="K126" s="32"/>
      <c r="L126" s="33"/>
      <c r="M126" s="32"/>
      <c r="N126" s="42"/>
      <c r="O126" s="41"/>
    </row>
    <row r="127" spans="1:15" ht="12.75">
      <c r="A127" s="26"/>
      <c r="B127" s="21"/>
      <c r="C127" s="22" t="s">
        <v>586</v>
      </c>
      <c r="D127" s="26" t="s">
        <v>360</v>
      </c>
      <c r="E127" s="1289">
        <f>IF(ISNUMBER('FBPQ C2'!K119),'FBPQ C2'!K119,IF(ISNUMBER('FBPQ C2'!I119),'FBPQ C2'!I119,""))</f>
        <v>0</v>
      </c>
      <c r="F127" s="1286" t="s">
        <v>58</v>
      </c>
      <c r="G127" s="1286">
        <f t="shared" si="4"/>
        <v>0</v>
      </c>
      <c r="H127" s="1287">
        <f>IF(ISBLANK('FBPQ T4'!E119)," ",'FBPQ T4'!AE119)</f>
        <v>56</v>
      </c>
      <c r="I127" s="1288">
        <f t="shared" si="5"/>
        <v>0</v>
      </c>
      <c r="J127" t="s">
        <v>878</v>
      </c>
      <c r="K127" s="32"/>
      <c r="L127" s="33"/>
      <c r="M127" s="32"/>
      <c r="N127" s="42"/>
      <c r="O127" s="41"/>
    </row>
    <row r="128" spans="1:15" ht="12.75">
      <c r="A128" s="26"/>
      <c r="B128" s="21"/>
      <c r="C128" s="22" t="s">
        <v>587</v>
      </c>
      <c r="D128" s="26" t="s">
        <v>360</v>
      </c>
      <c r="E128" s="1289">
        <f>IF(ISNUMBER('FBPQ C2'!K120),'FBPQ C2'!K120,IF(ISNUMBER('FBPQ C2'!I120),'FBPQ C2'!I120,""))</f>
        <v>0</v>
      </c>
      <c r="F128" s="1286" t="s">
        <v>58</v>
      </c>
      <c r="G128" s="1286">
        <f t="shared" si="4"/>
        <v>0</v>
      </c>
      <c r="H128" s="1287">
        <f>IF(ISBLANK('FBPQ T4'!E120)," ",'FBPQ T4'!AE120)</f>
        <v>4562</v>
      </c>
      <c r="I128" s="1288">
        <f t="shared" si="5"/>
        <v>0</v>
      </c>
      <c r="J128" t="s">
        <v>878</v>
      </c>
      <c r="K128" s="32"/>
      <c r="L128" s="33"/>
      <c r="M128" s="32"/>
      <c r="N128" s="42"/>
      <c r="O128" s="41"/>
    </row>
    <row r="129" spans="1:15" ht="12.75">
      <c r="A129" s="26"/>
      <c r="B129" s="21"/>
      <c r="C129" s="22" t="s">
        <v>140</v>
      </c>
      <c r="D129" s="26" t="s">
        <v>360</v>
      </c>
      <c r="E129" s="1289">
        <f>IF(ISNUMBER('FBPQ C2'!K121),'FBPQ C2'!K121,IF(ISNUMBER('FBPQ C2'!I121),'FBPQ C2'!I121,""))</f>
        <v>0</v>
      </c>
      <c r="F129" s="1286" t="s">
        <v>58</v>
      </c>
      <c r="G129" s="1286">
        <f t="shared" si="4"/>
        <v>0</v>
      </c>
      <c r="H129" s="1287">
        <f>IF(ISBLANK('FBPQ T4'!E121)," ",'FBPQ T4'!AE121)</f>
        <v>9124</v>
      </c>
      <c r="I129" s="1288">
        <f t="shared" si="5"/>
        <v>0</v>
      </c>
      <c r="J129" t="s">
        <v>878</v>
      </c>
      <c r="K129" s="32"/>
      <c r="L129" s="33"/>
      <c r="M129" s="47"/>
      <c r="N129" s="42"/>
      <c r="O129" s="43"/>
    </row>
    <row r="130" spans="1:15" ht="12.75">
      <c r="A130" s="26"/>
      <c r="B130" s="21"/>
      <c r="C130" s="22"/>
      <c r="D130" s="26"/>
      <c r="E130" s="1285">
        <f>IF(ISNUMBER('FBPQ C2'!K122),'FBPQ C2'!K122,IF(ISNUMBER('FBPQ C2'!I122),'FBPQ C2'!I122,""))</f>
      </c>
      <c r="F130" s="1286"/>
      <c r="G130" s="1286">
        <f t="shared" si="4"/>
        <v>0</v>
      </c>
      <c r="H130" s="1287" t="str">
        <f>IF(ISBLANK('FBPQ T4'!E122)," ",'FBPQ T4'!AE122)</f>
        <v> </v>
      </c>
      <c r="I130" s="1288" t="str">
        <f t="shared" si="5"/>
        <v> </v>
      </c>
      <c r="J130"/>
      <c r="K130" s="32"/>
      <c r="L130" s="32"/>
      <c r="M130" s="32"/>
      <c r="N130" s="42"/>
      <c r="O130" s="43"/>
    </row>
    <row r="131" spans="1:15" ht="12.75">
      <c r="A131" s="26"/>
      <c r="B131" s="21" t="s">
        <v>390</v>
      </c>
      <c r="C131" s="22"/>
      <c r="D131" s="26"/>
      <c r="E131" s="1285">
        <f>IF(ISNUMBER('FBPQ C2'!K123),'FBPQ C2'!K123,IF(ISNUMBER('FBPQ C2'!I123),'FBPQ C2'!I123,""))</f>
      </c>
      <c r="F131" s="1286"/>
      <c r="G131" s="1286">
        <f t="shared" si="4"/>
        <v>0</v>
      </c>
      <c r="H131" s="1287" t="str">
        <f>IF(ISBLANK('FBPQ T4'!E123)," ",'FBPQ T4'!AE123)</f>
        <v> </v>
      </c>
      <c r="I131" s="1288" t="str">
        <f t="shared" si="5"/>
        <v> </v>
      </c>
      <c r="J131"/>
      <c r="K131" s="32"/>
      <c r="L131" s="33"/>
      <c r="M131" s="32"/>
      <c r="N131" s="42"/>
      <c r="O131" s="41"/>
    </row>
    <row r="132" spans="1:15" ht="12.75">
      <c r="A132" s="26"/>
      <c r="B132" s="21"/>
      <c r="C132" s="22" t="s">
        <v>316</v>
      </c>
      <c r="D132" s="26" t="s">
        <v>18</v>
      </c>
      <c r="E132" s="1285">
        <f>IF(ISNUMBER('FBPQ C2'!K124),'FBPQ C2'!K124,IF(ISNUMBER('FBPQ C2'!I124),'FBPQ C2'!I124,""))</f>
        <v>1174.4561693412438</v>
      </c>
      <c r="F132" s="1286" t="s">
        <v>58</v>
      </c>
      <c r="G132" s="1286">
        <f t="shared" si="4"/>
        <v>1174.4561693412438</v>
      </c>
      <c r="H132" s="1287">
        <f>IF(ISBLANK('FBPQ T4'!E124)," ",'FBPQ T4'!AE124)</f>
        <v>42</v>
      </c>
      <c r="I132" s="1288">
        <f t="shared" si="5"/>
        <v>49327.15911233224</v>
      </c>
      <c r="J132" t="s">
        <v>878</v>
      </c>
      <c r="K132" s="32"/>
      <c r="L132" s="32"/>
      <c r="M132" s="32"/>
      <c r="N132" s="42"/>
      <c r="O132" s="41"/>
    </row>
    <row r="133" spans="1:15" ht="12.75">
      <c r="A133" s="26"/>
      <c r="B133" s="21"/>
      <c r="C133" s="22" t="s">
        <v>453</v>
      </c>
      <c r="D133" s="26" t="s">
        <v>18</v>
      </c>
      <c r="E133" s="1285">
        <f>IF(ISNUMBER('FBPQ C2'!K125),'FBPQ C2'!K125,IF(ISNUMBER('FBPQ C2'!I125),'FBPQ C2'!I125,""))</f>
        <v>1174.4561693412438</v>
      </c>
      <c r="F133" s="1286" t="s">
        <v>58</v>
      </c>
      <c r="G133" s="1286">
        <f t="shared" si="4"/>
        <v>1174.4561693412438</v>
      </c>
      <c r="H133" s="1287">
        <f>IF(ISBLANK('FBPQ T4'!E125)," ",'FBPQ T4'!AE125)</f>
        <v>164</v>
      </c>
      <c r="I133" s="1288">
        <f t="shared" si="5"/>
        <v>192610.81177196398</v>
      </c>
      <c r="J133" t="s">
        <v>878</v>
      </c>
      <c r="K133" s="32"/>
      <c r="L133" s="32"/>
      <c r="M133" s="32"/>
      <c r="N133" s="42"/>
      <c r="O133" s="41"/>
    </row>
    <row r="134" spans="1:15" ht="12.75">
      <c r="A134" s="26"/>
      <c r="B134" s="21"/>
      <c r="C134" s="22" t="s">
        <v>420</v>
      </c>
      <c r="D134" s="26" t="s">
        <v>18</v>
      </c>
      <c r="E134" s="1285">
        <f>IF(ISNUMBER('FBPQ C2'!K126),'FBPQ C2'!K126,IF(ISNUMBER('FBPQ C2'!I126),'FBPQ C2'!I126,""))</f>
        <v>0</v>
      </c>
      <c r="F134" s="1286" t="s">
        <v>58</v>
      </c>
      <c r="G134" s="1286">
        <f t="shared" si="4"/>
        <v>0</v>
      </c>
      <c r="H134" s="1287">
        <f>IF(ISBLANK('FBPQ T4'!E126)," ",'FBPQ T4'!AE126)</f>
        <v>0</v>
      </c>
      <c r="I134" s="1288">
        <f t="shared" si="5"/>
        <v>0</v>
      </c>
      <c r="J134" t="s">
        <v>878</v>
      </c>
      <c r="K134" s="32"/>
      <c r="L134" s="32"/>
      <c r="M134" s="32"/>
      <c r="N134" s="42"/>
      <c r="O134" s="43"/>
    </row>
    <row r="135" spans="1:15" ht="12.75">
      <c r="A135" s="26"/>
      <c r="B135" s="21"/>
      <c r="C135" s="22"/>
      <c r="D135" s="26"/>
      <c r="E135" s="1285">
        <f>IF(ISNUMBER('FBPQ C2'!K127),'FBPQ C2'!K127,IF(ISNUMBER('FBPQ C2'!I127),'FBPQ C2'!I127,""))</f>
      </c>
      <c r="F135" s="1286"/>
      <c r="G135" s="1286">
        <f t="shared" si="4"/>
        <v>0</v>
      </c>
      <c r="H135" s="1287" t="str">
        <f>IF(ISBLANK('FBPQ T4'!E127)," ",'FBPQ T4'!AE127)</f>
        <v> </v>
      </c>
      <c r="I135" s="1288" t="str">
        <f t="shared" si="5"/>
        <v> </v>
      </c>
      <c r="J135"/>
      <c r="K135" s="32"/>
      <c r="L135" s="32"/>
      <c r="M135" s="32"/>
      <c r="N135" s="39"/>
      <c r="O135" s="43"/>
    </row>
    <row r="136" spans="1:15" ht="12.75">
      <c r="A136" s="26"/>
      <c r="B136" s="21" t="s">
        <v>682</v>
      </c>
      <c r="C136" s="22"/>
      <c r="D136" s="26"/>
      <c r="E136" s="1285">
        <f>IF(ISNUMBER('FBPQ C2'!K128),'FBPQ C2'!K128,IF(ISNUMBER('FBPQ C2'!I128),'FBPQ C2'!I128,""))</f>
      </c>
      <c r="F136" s="1286"/>
      <c r="G136" s="1286">
        <f t="shared" si="4"/>
        <v>0</v>
      </c>
      <c r="H136" s="1287" t="str">
        <f>IF(ISBLANK('FBPQ T4'!E128)," ",'FBPQ T4'!AE128)</f>
        <v> </v>
      </c>
      <c r="I136" s="1288" t="str">
        <f t="shared" si="5"/>
        <v> </v>
      </c>
      <c r="J136"/>
      <c r="K136" s="32"/>
      <c r="L136" s="33"/>
      <c r="M136" s="32"/>
      <c r="N136" s="39"/>
      <c r="O136" s="41"/>
    </row>
    <row r="137" spans="1:15" ht="12.75">
      <c r="A137" s="26"/>
      <c r="B137" s="21"/>
      <c r="C137" s="22" t="s">
        <v>421</v>
      </c>
      <c r="D137" s="26" t="s">
        <v>18</v>
      </c>
      <c r="E137" s="1285">
        <f>IF(ISNUMBER('FBPQ C2'!K129),'FBPQ C2'!K129,IF(ISNUMBER('FBPQ C2'!I129),'FBPQ C2'!I129,""))</f>
        <v>0</v>
      </c>
      <c r="F137" s="1286" t="s">
        <v>58</v>
      </c>
      <c r="G137" s="1286">
        <f t="shared" si="4"/>
        <v>0</v>
      </c>
      <c r="H137" s="1287">
        <f>IF(ISBLANK('FBPQ T4'!E129)," ",'FBPQ T4'!AE129)</f>
        <v>0</v>
      </c>
      <c r="I137" s="1288">
        <f t="shared" si="5"/>
        <v>0</v>
      </c>
      <c r="J137" t="s">
        <v>878</v>
      </c>
      <c r="K137" s="32"/>
      <c r="L137" s="32"/>
      <c r="M137" s="47"/>
      <c r="N137" s="42"/>
      <c r="O137" s="43"/>
    </row>
    <row r="138" spans="1:15" ht="12.75">
      <c r="A138" s="26"/>
      <c r="B138" s="21"/>
      <c r="C138" s="22"/>
      <c r="D138" s="26"/>
      <c r="E138" s="1285">
        <f>IF(ISNUMBER('FBPQ C2'!K130),'FBPQ C2'!K130,IF(ISNUMBER('FBPQ C2'!I130),'FBPQ C2'!I130,""))</f>
      </c>
      <c r="F138" s="1286"/>
      <c r="G138" s="1286">
        <f t="shared" si="4"/>
        <v>0</v>
      </c>
      <c r="H138" s="1287" t="str">
        <f>IF(ISBLANK('FBPQ T4'!E130)," ",'FBPQ T4'!AE130)</f>
        <v> </v>
      </c>
      <c r="I138" s="1288" t="str">
        <f t="shared" si="5"/>
        <v> </v>
      </c>
      <c r="J138"/>
      <c r="K138" s="32"/>
      <c r="L138" s="32"/>
      <c r="M138" s="32"/>
      <c r="N138" s="39"/>
      <c r="O138" s="43"/>
    </row>
    <row r="139" spans="1:15" ht="12.75">
      <c r="A139" s="26"/>
      <c r="B139" s="21" t="s">
        <v>216</v>
      </c>
      <c r="C139" s="22"/>
      <c r="D139" s="26"/>
      <c r="E139" s="1285">
        <f>IF(ISNUMBER('FBPQ C2'!K131),'FBPQ C2'!K131,IF(ISNUMBER('FBPQ C2'!I131),'FBPQ C2'!I131,""))</f>
      </c>
      <c r="F139" s="1286"/>
      <c r="G139" s="1286">
        <f t="shared" si="4"/>
        <v>0</v>
      </c>
      <c r="H139" s="1287" t="str">
        <f>IF(ISBLANK('FBPQ T4'!E131)," ",'FBPQ T4'!AE131)</f>
        <v> </v>
      </c>
      <c r="I139" s="1288" t="str">
        <f t="shared" si="5"/>
        <v> </v>
      </c>
      <c r="J139"/>
      <c r="K139" s="32"/>
      <c r="L139" s="33"/>
      <c r="M139" s="32"/>
      <c r="N139" s="39"/>
      <c r="O139" s="41"/>
    </row>
    <row r="140" spans="1:15" ht="12.75">
      <c r="A140" s="26"/>
      <c r="B140" s="21"/>
      <c r="C140" s="22" t="s">
        <v>402</v>
      </c>
      <c r="D140" s="26" t="s">
        <v>360</v>
      </c>
      <c r="E140" s="1285">
        <f>IF(ISNUMBER('FBPQ C2'!K132),'FBPQ C2'!K132,IF(ISNUMBER('FBPQ C2'!I132),'FBPQ C2'!I132,""))</f>
        <v>1048.3376453104456</v>
      </c>
      <c r="F140" s="1286" t="s">
        <v>58</v>
      </c>
      <c r="G140" s="1286">
        <f t="shared" si="4"/>
        <v>1048.3376453104456</v>
      </c>
      <c r="H140" s="1287">
        <f>IF(ISBLANK('FBPQ T4'!E132)," ",'FBPQ T4'!AE132)</f>
        <v>245</v>
      </c>
      <c r="I140" s="1288">
        <f t="shared" si="5"/>
        <v>256842.72310105918</v>
      </c>
      <c r="J140" t="s">
        <v>878</v>
      </c>
      <c r="K140" s="32"/>
      <c r="L140" s="32"/>
      <c r="M140" s="32"/>
      <c r="N140" s="42"/>
      <c r="O140" s="44"/>
    </row>
    <row r="141" spans="1:15" ht="12.75">
      <c r="A141" s="26"/>
      <c r="B141" s="21"/>
      <c r="C141" s="22" t="s">
        <v>403</v>
      </c>
      <c r="D141" s="26" t="s">
        <v>360</v>
      </c>
      <c r="E141" s="1289">
        <f>E140</f>
        <v>1048.3376453104456</v>
      </c>
      <c r="F141" s="1286" t="s">
        <v>58</v>
      </c>
      <c r="G141" s="1286">
        <f t="shared" si="4"/>
        <v>1048.3376453104456</v>
      </c>
      <c r="H141" s="1287">
        <f>IF(ISBLANK('FBPQ T4'!E133)," ",'FBPQ T4'!AE133)</f>
        <v>1662</v>
      </c>
      <c r="I141" s="1288">
        <f t="shared" si="5"/>
        <v>1742337.1665059605</v>
      </c>
      <c r="J141" t="s">
        <v>878</v>
      </c>
      <c r="K141" s="32"/>
      <c r="L141" s="32"/>
      <c r="M141" s="32"/>
      <c r="N141" s="42"/>
      <c r="O141" s="43"/>
    </row>
    <row r="142" spans="1:15" ht="12.75">
      <c r="A142" s="26"/>
      <c r="B142" s="21"/>
      <c r="C142" s="22"/>
      <c r="D142" s="26"/>
      <c r="E142" s="1285">
        <f>IF(ISNUMBER('FBPQ C2'!K134),'FBPQ C2'!K134,IF(ISNUMBER('FBPQ C2'!I134),'FBPQ C2'!I134,""))</f>
      </c>
      <c r="F142" s="1286"/>
      <c r="G142" s="1286">
        <f t="shared" si="4"/>
        <v>0</v>
      </c>
      <c r="H142" s="1287" t="str">
        <f>IF(ISBLANK('FBPQ T4'!E134)," ",'FBPQ T4'!AE134)</f>
        <v> </v>
      </c>
      <c r="I142" s="1288" t="str">
        <f t="shared" si="5"/>
        <v> </v>
      </c>
      <c r="J142"/>
      <c r="K142" s="32"/>
      <c r="L142" s="32"/>
      <c r="M142" s="32"/>
      <c r="N142" s="39"/>
      <c r="O142" s="43"/>
    </row>
    <row r="143" spans="1:15" ht="12.75">
      <c r="A143" s="26"/>
      <c r="B143" s="21" t="s">
        <v>376</v>
      </c>
      <c r="C143" s="22"/>
      <c r="D143" s="26"/>
      <c r="E143" s="1285">
        <f>IF(ISNUMBER('FBPQ C2'!K135),'FBPQ C2'!K135,IF(ISNUMBER('FBPQ C2'!I135),'FBPQ C2'!I135,""))</f>
      </c>
      <c r="F143" s="1286"/>
      <c r="G143" s="1286">
        <f t="shared" si="4"/>
        <v>0</v>
      </c>
      <c r="H143" s="1287" t="str">
        <f>IF(ISBLANK('FBPQ T4'!E135)," ",'FBPQ T4'!AE135)</f>
        <v> </v>
      </c>
      <c r="I143" s="1288" t="str">
        <f t="shared" si="5"/>
        <v> </v>
      </c>
      <c r="J143"/>
      <c r="K143" s="32"/>
      <c r="L143" s="33"/>
      <c r="M143" s="32"/>
      <c r="N143" s="42"/>
      <c r="O143" s="41"/>
    </row>
    <row r="144" spans="1:15" ht="12.75">
      <c r="A144" s="26"/>
      <c r="B144" s="21"/>
      <c r="C144" s="22" t="s">
        <v>404</v>
      </c>
      <c r="D144" s="26" t="s">
        <v>360</v>
      </c>
      <c r="E144" s="1285">
        <f>IF(ISNUMBER('FBPQ C2'!K136),'FBPQ C2'!K136,IF(ISNUMBER('FBPQ C2'!I136),'FBPQ C2'!I136,""))</f>
        <v>2117.5143590615103</v>
      </c>
      <c r="F144" s="1286" t="s">
        <v>58</v>
      </c>
      <c r="G144" s="1286">
        <f t="shared" si="4"/>
        <v>2117.5143590615103</v>
      </c>
      <c r="H144" s="1287">
        <f>IF(ISBLANK('FBPQ T4'!E136)," ",'FBPQ T4'!AE136)</f>
        <v>191</v>
      </c>
      <c r="I144" s="1288">
        <f t="shared" si="5"/>
        <v>404445.24258074845</v>
      </c>
      <c r="J144" t="s">
        <v>4</v>
      </c>
      <c r="K144" s="32"/>
      <c r="L144" s="32"/>
      <c r="M144" s="47"/>
      <c r="N144" s="42"/>
      <c r="O144" s="48"/>
    </row>
    <row r="145" spans="1:15" ht="12.75">
      <c r="A145" s="26"/>
      <c r="B145" s="21"/>
      <c r="C145" s="22" t="s">
        <v>405</v>
      </c>
      <c r="D145" s="26" t="s">
        <v>360</v>
      </c>
      <c r="E145" s="1289">
        <f>E76</f>
        <v>11.322962042879682</v>
      </c>
      <c r="F145" s="1286" t="s">
        <v>58</v>
      </c>
      <c r="G145" s="1286">
        <f t="shared" si="4"/>
        <v>11.322962042879682</v>
      </c>
      <c r="H145" s="1287">
        <f>IF(ISBLANK('FBPQ T4'!E137)," ",'FBPQ T4'!AE137)</f>
        <v>336</v>
      </c>
      <c r="I145" s="1288">
        <f t="shared" si="5"/>
        <v>3804.515246407573</v>
      </c>
      <c r="J145" t="s">
        <v>4</v>
      </c>
      <c r="K145" s="32"/>
      <c r="L145" s="32"/>
      <c r="M145" s="47"/>
      <c r="N145" s="42"/>
      <c r="O145" s="49"/>
    </row>
    <row r="146" spans="1:14" ht="12.75">
      <c r="A146" s="26"/>
      <c r="B146" s="21"/>
      <c r="C146" s="22"/>
      <c r="D146" s="26"/>
      <c r="E146" s="1285">
        <f>IF(ISNUMBER('FBPQ C2'!K138),'FBPQ C2'!K138,IF(ISNUMBER('FBPQ C2'!I138),'FBPQ C2'!I138,""))</f>
      </c>
      <c r="F146" s="1286"/>
      <c r="G146" s="1286">
        <f t="shared" si="4"/>
        <v>0</v>
      </c>
      <c r="H146" s="1287" t="str">
        <f>IF(ISBLANK('FBPQ T4'!E138)," ",'FBPQ T4'!AE138)</f>
        <v> </v>
      </c>
      <c r="I146" s="1288" t="str">
        <f t="shared" si="5"/>
        <v> </v>
      </c>
      <c r="J146"/>
      <c r="K146" s="45"/>
      <c r="L146" s="45"/>
      <c r="M146" s="45"/>
      <c r="N146" s="46"/>
    </row>
    <row r="147" spans="1:10" ht="12.75">
      <c r="A147" s="26" t="s">
        <v>278</v>
      </c>
      <c r="B147" s="21"/>
      <c r="C147" s="22"/>
      <c r="D147" s="26"/>
      <c r="E147" s="1285">
        <f>IF(ISNUMBER('FBPQ C2'!K139),'FBPQ C2'!K139,IF(ISNUMBER('FBPQ C2'!I139),'FBPQ C2'!I139,""))</f>
      </c>
      <c r="F147" s="1286"/>
      <c r="G147" s="1286">
        <f t="shared" si="4"/>
        <v>0</v>
      </c>
      <c r="H147" s="1287" t="str">
        <f>IF(ISBLANK('FBPQ T4'!E139)," ",'FBPQ T4'!AE139)</f>
        <v> </v>
      </c>
      <c r="I147" s="1288" t="str">
        <f t="shared" si="5"/>
        <v> </v>
      </c>
      <c r="J147"/>
    </row>
    <row r="148" spans="1:10" ht="12.75">
      <c r="A148" s="26"/>
      <c r="B148" s="21" t="s">
        <v>279</v>
      </c>
      <c r="C148" s="22"/>
      <c r="D148" s="26"/>
      <c r="E148" s="1285">
        <f>IF(ISNUMBER('FBPQ C2'!K140),'FBPQ C2'!K140,IF(ISNUMBER('FBPQ C2'!I140),'FBPQ C2'!I140,""))</f>
      </c>
      <c r="F148" s="1286"/>
      <c r="G148" s="1286">
        <f aca="true" t="shared" si="6" ref="G148:G163">IF(ISNUMBER(E148),E148,IF(H148&gt;0,F148," "))</f>
        <v>0</v>
      </c>
      <c r="H148" s="1287" t="str">
        <f>IF(ISBLANK('FBPQ T4'!E140)," ",'FBPQ T4'!AE140)</f>
        <v> </v>
      </c>
      <c r="I148" s="1288" t="str">
        <f t="shared" si="5"/>
        <v> </v>
      </c>
      <c r="J148"/>
    </row>
    <row r="149" spans="1:10" ht="12.75">
      <c r="A149" s="26"/>
      <c r="B149" s="21"/>
      <c r="C149" s="22" t="s">
        <v>280</v>
      </c>
      <c r="D149" s="26" t="s">
        <v>360</v>
      </c>
      <c r="E149" s="1289">
        <v>62.645</v>
      </c>
      <c r="F149" s="1286" t="s">
        <v>58</v>
      </c>
      <c r="G149" s="1286">
        <f t="shared" si="6"/>
        <v>62.645</v>
      </c>
      <c r="H149" s="1287">
        <f>IF(ISBLANK('FBPQ T4'!E141)," ",'FBPQ T4'!AE141)</f>
        <v>2</v>
      </c>
      <c r="I149" s="1288">
        <f aca="true" t="shared" si="7" ref="I149:I163">IF(ISERROR(G149*H149)," ",G149*H149)</f>
        <v>125.29</v>
      </c>
      <c r="J149" t="s">
        <v>83</v>
      </c>
    </row>
    <row r="150" spans="1:10" ht="12.75">
      <c r="A150" s="26"/>
      <c r="B150" s="21"/>
      <c r="C150" s="22" t="s">
        <v>801</v>
      </c>
      <c r="D150" s="26" t="s">
        <v>360</v>
      </c>
      <c r="E150" s="1289">
        <v>62.645</v>
      </c>
      <c r="F150" s="1286" t="s">
        <v>58</v>
      </c>
      <c r="G150" s="1286">
        <f t="shared" si="6"/>
        <v>62.645</v>
      </c>
      <c r="H150" s="1287">
        <f>IF(ISBLANK('FBPQ T4'!E142)," ",'FBPQ T4'!AE142)</f>
        <v>484</v>
      </c>
      <c r="I150" s="1288">
        <f t="shared" si="7"/>
        <v>30320.18</v>
      </c>
      <c r="J150" t="s">
        <v>83</v>
      </c>
    </row>
    <row r="151" spans="1:10" ht="12.75">
      <c r="A151" s="26"/>
      <c r="B151" s="21"/>
      <c r="C151" s="22"/>
      <c r="D151" s="26"/>
      <c r="E151" s="1291">
        <f>IF(ISNUMBER('FBPQ C2'!K143),'FBPQ C2'!K143,IF(ISNUMBER('FBPQ C2'!I143),'FBPQ C2'!I143,""))</f>
      </c>
      <c r="F151" s="1286"/>
      <c r="G151" s="1286">
        <f t="shared" si="6"/>
        <v>0</v>
      </c>
      <c r="H151" s="1287" t="str">
        <f>IF(ISBLANK('FBPQ T4'!E143)," ",'FBPQ T4'!AE143)</f>
        <v> </v>
      </c>
      <c r="I151" s="1288" t="str">
        <f t="shared" si="7"/>
        <v> </v>
      </c>
      <c r="J151"/>
    </row>
    <row r="152" spans="1:10" ht="12.75">
      <c r="A152" s="26"/>
      <c r="B152" s="21" t="s">
        <v>802</v>
      </c>
      <c r="C152" s="22"/>
      <c r="D152" s="26"/>
      <c r="E152" s="1285">
        <f>IF(ISNUMBER('FBPQ C2'!K144),'FBPQ C2'!K144,IF(ISNUMBER('FBPQ C2'!I144),'FBPQ C2'!I144,""))</f>
      </c>
      <c r="F152" s="1286"/>
      <c r="G152" s="1286">
        <f t="shared" si="6"/>
        <v>0</v>
      </c>
      <c r="H152" s="1287" t="str">
        <f>IF(ISBLANK('FBPQ T4'!E144)," ",'FBPQ T4'!AE144)</f>
        <v> </v>
      </c>
      <c r="I152" s="1288" t="str">
        <f t="shared" si="7"/>
        <v> </v>
      </c>
      <c r="J152"/>
    </row>
    <row r="153" spans="1:10" ht="12.75">
      <c r="A153" s="26"/>
      <c r="B153" s="21"/>
      <c r="C153" s="22" t="s">
        <v>282</v>
      </c>
      <c r="D153" s="26" t="s">
        <v>360</v>
      </c>
      <c r="E153" s="1289">
        <v>62.645</v>
      </c>
      <c r="F153" s="1286" t="s">
        <v>58</v>
      </c>
      <c r="G153" s="1286">
        <f t="shared" si="6"/>
        <v>62.645</v>
      </c>
      <c r="H153" s="1287">
        <f>IF(ISBLANK('FBPQ T4'!E145)," ",'FBPQ T4'!AE145)</f>
        <v>1491</v>
      </c>
      <c r="I153" s="1292">
        <f t="shared" si="7"/>
        <v>93403.695</v>
      </c>
      <c r="J153" t="s">
        <v>367</v>
      </c>
    </row>
    <row r="154" spans="1:10" ht="12.75">
      <c r="A154" s="26"/>
      <c r="B154" s="21"/>
      <c r="C154" s="22" t="s">
        <v>283</v>
      </c>
      <c r="D154" s="26" t="s">
        <v>360</v>
      </c>
      <c r="E154" s="1289">
        <v>62.645</v>
      </c>
      <c r="F154" s="1286" t="s">
        <v>58</v>
      </c>
      <c r="G154" s="1286">
        <f t="shared" si="6"/>
        <v>62.645</v>
      </c>
      <c r="H154" s="1287">
        <f>IF(ISBLANK('FBPQ T4'!E146)," ",'FBPQ T4'!AE146)</f>
        <v>751</v>
      </c>
      <c r="I154" s="1288">
        <f t="shared" si="7"/>
        <v>47046.395000000004</v>
      </c>
      <c r="J154" t="s">
        <v>367</v>
      </c>
    </row>
    <row r="155" spans="1:10" ht="12.75">
      <c r="A155" s="26"/>
      <c r="B155" s="21"/>
      <c r="C155" s="22"/>
      <c r="D155" s="26"/>
      <c r="E155" s="1285">
        <f>IF(ISNUMBER('FBPQ C2'!K147),'FBPQ C2'!K147,IF(ISNUMBER('FBPQ C2'!I147),'FBPQ C2'!I147,""))</f>
      </c>
      <c r="F155" s="1286"/>
      <c r="G155" s="1286">
        <f t="shared" si="6"/>
        <v>0</v>
      </c>
      <c r="H155" s="1287" t="str">
        <f>IF(ISBLANK('FBPQ T4'!E147)," ",'FBPQ T4'!AE147)</f>
        <v> </v>
      </c>
      <c r="I155" s="1288" t="str">
        <f t="shared" si="7"/>
        <v> </v>
      </c>
      <c r="J155"/>
    </row>
    <row r="156" spans="1:10" ht="12.75">
      <c r="A156" s="26"/>
      <c r="B156" s="21"/>
      <c r="C156" s="22"/>
      <c r="D156" s="26"/>
      <c r="E156" s="1285">
        <f>IF(ISNUMBER('FBPQ C2'!K148),'FBPQ C2'!K148,IF(ISNUMBER('FBPQ C2'!I148),'FBPQ C2'!I148,""))</f>
      </c>
      <c r="F156" s="1286"/>
      <c r="G156" s="1286">
        <f t="shared" si="6"/>
        <v>0</v>
      </c>
      <c r="H156" s="1287" t="str">
        <f>IF(ISBLANK('FBPQ T4'!E148)," ",'FBPQ T4'!AE148)</f>
        <v> </v>
      </c>
      <c r="I156" s="1288" t="str">
        <f t="shared" si="7"/>
        <v> </v>
      </c>
      <c r="J156"/>
    </row>
    <row r="157" spans="1:10" ht="12.75">
      <c r="A157" s="26" t="s">
        <v>284</v>
      </c>
      <c r="B157" s="21"/>
      <c r="C157" s="22"/>
      <c r="D157" s="26"/>
      <c r="E157" s="1285">
        <f>IF(ISNUMBER('FBPQ C2'!K149),'FBPQ C2'!K149,IF(ISNUMBER('FBPQ C2'!I149),'FBPQ C2'!I149,""))</f>
      </c>
      <c r="F157" s="1286"/>
      <c r="G157" s="1286">
        <f t="shared" si="6"/>
        <v>0</v>
      </c>
      <c r="H157" s="1287" t="str">
        <f>IF(ISBLANK('FBPQ T4'!E149)," ",'FBPQ T4'!AE149)</f>
        <v> </v>
      </c>
      <c r="I157" s="1288" t="str">
        <f t="shared" si="7"/>
        <v> </v>
      </c>
      <c r="J157"/>
    </row>
    <row r="158" spans="1:10" ht="12.75">
      <c r="A158" s="26"/>
      <c r="B158" s="21"/>
      <c r="C158" s="22" t="s">
        <v>897</v>
      </c>
      <c r="D158" s="26"/>
      <c r="E158" s="1285">
        <f>IF(ISNUMBER('FBPQ C2'!K150),'FBPQ C2'!K150,IF(ISNUMBER('FBPQ C2'!I150),'FBPQ C2'!I150,""))</f>
      </c>
      <c r="F158" s="1286"/>
      <c r="G158" s="1286">
        <f t="shared" si="6"/>
        <v>0</v>
      </c>
      <c r="H158" s="1287" t="str">
        <f>IF(ISBLANK('FBPQ T4'!E150)," ",'FBPQ T4'!AE150)</f>
        <v> </v>
      </c>
      <c r="I158" s="1288" t="str">
        <f t="shared" si="7"/>
        <v> </v>
      </c>
      <c r="J158"/>
    </row>
    <row r="159" spans="1:10" ht="12.75">
      <c r="A159" s="26"/>
      <c r="B159" s="21"/>
      <c r="C159" s="22" t="s">
        <v>285</v>
      </c>
      <c r="D159" s="26" t="s">
        <v>360</v>
      </c>
      <c r="E159" s="1285">
        <f>IF(ISNUMBER('FBPQ C2'!K151),'FBPQ C2'!K151,IF(ISNUMBER('FBPQ C2'!I151),'FBPQ C2'!I151,""))</f>
        <v>29.271061451274075</v>
      </c>
      <c r="F159" s="1286" t="s">
        <v>58</v>
      </c>
      <c r="G159" s="1286">
        <f t="shared" si="6"/>
        <v>29.271061451274075</v>
      </c>
      <c r="H159" s="1287" t="str">
        <f>IF(ISBLANK('FBPQ T4'!E151)," ",'FBPQ T4'!AE151)</f>
        <v> </v>
      </c>
      <c r="I159" s="1288" t="str">
        <f t="shared" si="7"/>
        <v> </v>
      </c>
      <c r="J159"/>
    </row>
    <row r="160" spans="1:10" ht="12.75">
      <c r="A160" s="26"/>
      <c r="B160" s="21"/>
      <c r="C160" s="22" t="s">
        <v>286</v>
      </c>
      <c r="D160" s="26" t="s">
        <v>360</v>
      </c>
      <c r="E160" s="1285">
        <f>IF(ISNUMBER('FBPQ C2'!K152),'FBPQ C2'!K152,IF(ISNUMBER('FBPQ C2'!I152),'FBPQ C2'!I152,""))</f>
        <v>7.468336666580217</v>
      </c>
      <c r="F160" s="1286" t="s">
        <v>58</v>
      </c>
      <c r="G160" s="1286">
        <f t="shared" si="6"/>
        <v>7.468336666580217</v>
      </c>
      <c r="H160" s="1287" t="str">
        <f>IF(ISBLANK('FBPQ T4'!E152)," ",'FBPQ T4'!AE152)</f>
        <v> </v>
      </c>
      <c r="I160" s="1288" t="str">
        <f t="shared" si="7"/>
        <v> </v>
      </c>
      <c r="J160"/>
    </row>
    <row r="161" spans="1:10" ht="12.75">
      <c r="A161" s="26"/>
      <c r="B161" s="21"/>
      <c r="C161" s="22" t="s">
        <v>645</v>
      </c>
      <c r="D161" s="26"/>
      <c r="E161" s="1285">
        <f>IF(ISNUMBER('FBPQ C2'!K153),'FBPQ C2'!K153,IF(ISNUMBER('FBPQ C2'!I153),'FBPQ C2'!I153,""))</f>
      </c>
      <c r="F161" s="1286" t="s">
        <v>58</v>
      </c>
      <c r="G161" s="1286" t="str">
        <f t="shared" si="6"/>
        <v>DATA</v>
      </c>
      <c r="H161" s="1287" t="str">
        <f>IF(ISBLANK('FBPQ T4'!E153)," ",'FBPQ T4'!AE153)</f>
        <v> </v>
      </c>
      <c r="I161" s="1288" t="str">
        <f t="shared" si="7"/>
        <v> </v>
      </c>
      <c r="J161"/>
    </row>
    <row r="162" spans="1:10" ht="12.75">
      <c r="A162" s="26"/>
      <c r="B162" s="21"/>
      <c r="C162" s="22" t="s">
        <v>285</v>
      </c>
      <c r="D162" s="26" t="s">
        <v>360</v>
      </c>
      <c r="E162" s="1285">
        <f>IF(ISNUMBER('FBPQ C2'!K154),'FBPQ C2'!K154,IF(ISNUMBER('FBPQ C2'!I154),'FBPQ C2'!I154,""))</f>
        <v>0</v>
      </c>
      <c r="F162" s="1286" t="s">
        <v>58</v>
      </c>
      <c r="G162" s="1286">
        <f t="shared" si="6"/>
        <v>0</v>
      </c>
      <c r="H162" s="1287" t="str">
        <f>IF(ISBLANK('FBPQ T4'!E154)," ",'FBPQ T4'!AE154)</f>
        <v> </v>
      </c>
      <c r="I162" s="1288" t="str">
        <f t="shared" si="7"/>
        <v> </v>
      </c>
      <c r="J162"/>
    </row>
    <row r="163" spans="1:10" ht="12.75">
      <c r="A163" s="25"/>
      <c r="B163" s="23"/>
      <c r="C163" s="24" t="s">
        <v>286</v>
      </c>
      <c r="D163" s="25" t="s">
        <v>360</v>
      </c>
      <c r="E163" s="1293">
        <f>IF(ISNUMBER('FBPQ C2'!K155),'FBPQ C2'!K155,IF(ISNUMBER('FBPQ C2'!I155),'FBPQ C2'!I155,""))</f>
        <v>0</v>
      </c>
      <c r="F163" s="1294" t="s">
        <v>58</v>
      </c>
      <c r="G163" s="1294">
        <f t="shared" si="6"/>
        <v>0</v>
      </c>
      <c r="H163" s="1295" t="str">
        <f>IF(ISBLANK('FBPQ T4'!E155)," ",'FBPQ T4'!AE155)</f>
        <v> </v>
      </c>
      <c r="I163" s="1296" t="str">
        <f t="shared" si="7"/>
        <v> </v>
      </c>
      <c r="J163"/>
    </row>
    <row r="164" spans="8:10" ht="12.75">
      <c r="H164" s="1297" t="s">
        <v>444</v>
      </c>
      <c r="I164" s="1298">
        <f>SUM(I18:I163)</f>
        <v>18235705.162439495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1" customFormat="1" ht="12.75">
      <c r="A1" s="1267" t="s">
        <v>119</v>
      </c>
      <c r="F1" s="857" t="s">
        <v>55</v>
      </c>
    </row>
    <row r="3" spans="2:8" ht="26.25" customHeight="1">
      <c r="B3" s="1437" t="s">
        <v>162</v>
      </c>
      <c r="C3" s="1438"/>
      <c r="D3" s="1439"/>
      <c r="F3" s="1437" t="s">
        <v>103</v>
      </c>
      <c r="G3" s="1438"/>
      <c r="H3" s="1439"/>
    </row>
    <row r="4" spans="2:8" ht="12.75" customHeight="1">
      <c r="B4" s="1428" t="s">
        <v>439</v>
      </c>
      <c r="C4" s="1444"/>
      <c r="D4" s="1443"/>
      <c r="F4" s="1428" t="s">
        <v>439</v>
      </c>
      <c r="G4" s="1444"/>
      <c r="H4" s="1443"/>
    </row>
    <row r="5" spans="2:8" ht="12.75">
      <c r="B5" s="6"/>
      <c r="C5" s="1268" t="s">
        <v>849</v>
      </c>
      <c r="D5" s="1269" t="s">
        <v>120</v>
      </c>
      <c r="F5" s="6"/>
      <c r="G5" s="1268" t="s">
        <v>849</v>
      </c>
      <c r="H5" s="1270" t="s">
        <v>120</v>
      </c>
    </row>
    <row r="6" spans="2:8" ht="12.75">
      <c r="B6" s="1271" t="s">
        <v>875</v>
      </c>
      <c r="C6" s="10">
        <f>C19+F19+I19+C28</f>
        <v>128.0394481804391</v>
      </c>
      <c r="D6" s="240">
        <f>C6/SUM($C$6:$C$9)</f>
        <v>0.13596332621236557</v>
      </c>
      <c r="F6" s="1271" t="s">
        <v>875</v>
      </c>
      <c r="G6" s="53">
        <f>+C39+F39+I39+C49</f>
        <v>128.0394481804391</v>
      </c>
      <c r="H6" s="8">
        <f>G6/SUM($G$6:$G$10)</f>
        <v>0.13596332621236557</v>
      </c>
    </row>
    <row r="7" spans="2:8" ht="12.75">
      <c r="B7" s="1271" t="s">
        <v>874</v>
      </c>
      <c r="C7" s="11">
        <f>C20+F20+I20+C29</f>
        <v>312.43495500464473</v>
      </c>
      <c r="D7" s="241">
        <f>C7/SUM($C$6:$C$9)</f>
        <v>0.3317703747643298</v>
      </c>
      <c r="F7" s="1271" t="s">
        <v>438</v>
      </c>
      <c r="G7" s="54">
        <f>+C40+F40+I40+C50</f>
        <v>56.26733397770801</v>
      </c>
      <c r="H7" s="7">
        <f>G7/SUM($G$6:$G$10)</f>
        <v>0.05974950683893988</v>
      </c>
    </row>
    <row r="8" spans="2:8" ht="12.75">
      <c r="B8" s="1271" t="s">
        <v>880</v>
      </c>
      <c r="C8" s="11">
        <f>C21+F21+I21+C30</f>
        <v>201.1131533360422</v>
      </c>
      <c r="D8" s="241">
        <f>C8/SUM($C$6:$C$9)</f>
        <v>0.21355928708854907</v>
      </c>
      <c r="F8" s="1271" t="s">
        <v>874</v>
      </c>
      <c r="G8" s="54">
        <f>+C41+F41+I41+C51</f>
        <v>256.16762102693673</v>
      </c>
      <c r="H8" s="7">
        <f>G8/SUM($G$6:$G$10)</f>
        <v>0.27202086792538993</v>
      </c>
    </row>
    <row r="9" spans="2:8" ht="12.75">
      <c r="B9" s="1272" t="s">
        <v>208</v>
      </c>
      <c r="C9" s="12">
        <f>C22+F22+I22+C31</f>
        <v>300.13291875211144</v>
      </c>
      <c r="D9" s="242">
        <f>C9/SUM($C$6:$C$9)</f>
        <v>0.31870701193475565</v>
      </c>
      <c r="F9" s="1271" t="s">
        <v>880</v>
      </c>
      <c r="G9" s="54">
        <f>+C42+F42+I42+C52</f>
        <v>201.1131533360422</v>
      </c>
      <c r="H9" s="7">
        <f>G9/SUM($G$6:$G$10)</f>
        <v>0.21355928708854907</v>
      </c>
    </row>
    <row r="10" spans="2:8" ht="12.75">
      <c r="B10" s="1273"/>
      <c r="C10" s="51"/>
      <c r="D10" s="52"/>
      <c r="F10" s="1272" t="s">
        <v>208</v>
      </c>
      <c r="G10" s="55">
        <f>+C43+F43+I43+C53</f>
        <v>300.13291875211144</v>
      </c>
      <c r="H10" s="9">
        <f>G10/SUM($G$6:$G$10)</f>
        <v>0.31870701193475565</v>
      </c>
    </row>
    <row r="11" spans="2:4" ht="12.75">
      <c r="B11" s="1273"/>
      <c r="C11" s="51"/>
      <c r="D11" s="249"/>
    </row>
    <row r="12" spans="2:3" ht="12" customHeight="1">
      <c r="B12" s="1273"/>
      <c r="C12" s="4"/>
    </row>
    <row r="13" s="1" customFormat="1" ht="12.75">
      <c r="A13" s="1267" t="s">
        <v>158</v>
      </c>
    </row>
    <row r="15" ht="5.25" customHeight="1"/>
    <row r="16" spans="2:9" s="2" customFormat="1" ht="26.25" customHeight="1">
      <c r="B16" s="1437" t="s">
        <v>344</v>
      </c>
      <c r="C16" s="1439"/>
      <c r="E16" s="1437" t="s">
        <v>365</v>
      </c>
      <c r="F16" s="1439"/>
      <c r="H16" s="1437" t="s">
        <v>115</v>
      </c>
      <c r="I16" s="1439"/>
    </row>
    <row r="17" spans="2:9" ht="27" customHeight="1">
      <c r="B17" s="1428" t="s">
        <v>154</v>
      </c>
      <c r="C17" s="1443"/>
      <c r="E17" s="1428" t="s">
        <v>640</v>
      </c>
      <c r="F17" s="1443"/>
      <c r="H17" s="1428" t="s">
        <v>116</v>
      </c>
      <c r="I17" s="1443"/>
    </row>
    <row r="18" spans="2:9" ht="12.75" customHeight="1">
      <c r="B18" s="13"/>
      <c r="C18" s="10"/>
      <c r="E18" s="3"/>
      <c r="F18" s="10"/>
      <c r="H18" s="3"/>
      <c r="I18" s="10"/>
    </row>
    <row r="19" spans="2:9" ht="12" customHeight="1">
      <c r="B19" s="1271" t="s">
        <v>875</v>
      </c>
      <c r="C19" s="11">
        <f>SUM('FBPQ LR1'!D82:M82)-SUM('FBPQ LR1'!D110:M110)</f>
        <v>41.13256601314538</v>
      </c>
      <c r="E19" s="1274" t="s">
        <v>875</v>
      </c>
      <c r="F19" s="11">
        <f>SUM('FBPQ LR4'!D11:M11)</f>
        <v>10.2948140695399</v>
      </c>
      <c r="H19" s="1274" t="s">
        <v>875</v>
      </c>
      <c r="I19" s="11">
        <f>SUM('FBPQ LR6'!C28:L28)</f>
        <v>0</v>
      </c>
    </row>
    <row r="20" spans="2:9" ht="12.75">
      <c r="B20" s="1271" t="s">
        <v>874</v>
      </c>
      <c r="C20" s="11">
        <f>SUM('FBPQ LR1'!D86:M86)-SUM('FBPQ LR1'!D114:M114)</f>
        <v>100.38915569099296</v>
      </c>
      <c r="E20" s="1274" t="s">
        <v>874</v>
      </c>
      <c r="F20" s="11">
        <f>SUM('FBPQ LR4'!D12:M12)</f>
        <v>41.56989270594031</v>
      </c>
      <c r="H20" s="1274" t="s">
        <v>874</v>
      </c>
      <c r="I20" s="11">
        <f>SUM('FBPQ LR6'!C29:L29)</f>
        <v>2.04974931253745</v>
      </c>
    </row>
    <row r="21" spans="2:9" ht="12.75">
      <c r="B21" s="1271" t="s">
        <v>880</v>
      </c>
      <c r="C21" s="11">
        <f>SUM('FBPQ LR1'!D90:M90)-SUM('FBPQ LR1'!D118:M118)</f>
        <v>0.3967625126607135</v>
      </c>
      <c r="E21" s="1274" t="s">
        <v>880</v>
      </c>
      <c r="F21" s="11">
        <f>SUM('FBPQ LR4'!D13:M13)</f>
        <v>95.08951791159691</v>
      </c>
      <c r="H21" s="1274" t="s">
        <v>880</v>
      </c>
      <c r="I21" s="11">
        <f>SUM('FBPQ LR6'!C30:L30)</f>
        <v>10.928432918880622</v>
      </c>
    </row>
    <row r="22" spans="2:9" ht="12.75">
      <c r="B22" s="1272" t="s">
        <v>208</v>
      </c>
      <c r="C22" s="12">
        <f>SUM('FBPQ LR1'!D94:M94)-SUM('FBPQ LR1'!D122:M122)</f>
        <v>0</v>
      </c>
      <c r="E22" s="1275" t="s">
        <v>208</v>
      </c>
      <c r="F22" s="12">
        <f>SUM('FBPQ LR4'!D14:M14)</f>
        <v>157.4934470737815</v>
      </c>
      <c r="H22" s="1275" t="s">
        <v>208</v>
      </c>
      <c r="I22" s="12">
        <f>SUM('FBPQ LR6'!C31:L31)</f>
        <v>10.137299167357355</v>
      </c>
    </row>
    <row r="25" spans="2:3" ht="24.75" customHeight="1">
      <c r="B25" s="1437" t="s">
        <v>117</v>
      </c>
      <c r="C25" s="1439"/>
    </row>
    <row r="26" spans="2:3" ht="27.75" customHeight="1">
      <c r="B26" s="1428" t="s">
        <v>118</v>
      </c>
      <c r="C26" s="1443"/>
    </row>
    <row r="27" spans="2:3" ht="12.75">
      <c r="B27" s="3"/>
      <c r="C27" s="10"/>
    </row>
    <row r="28" spans="2:3" ht="12.75">
      <c r="B28" s="1274" t="s">
        <v>875</v>
      </c>
      <c r="C28" s="11">
        <f>SUM('FBPQ NL1'!D10:M16)</f>
        <v>76.61206809775383</v>
      </c>
    </row>
    <row r="29" spans="2:3" ht="12.75">
      <c r="B29" s="1274" t="s">
        <v>874</v>
      </c>
      <c r="C29" s="11">
        <f>SUM('FBPQ NL1'!D17:M22)</f>
        <v>168.426157295174</v>
      </c>
    </row>
    <row r="30" spans="2:3" ht="12.75">
      <c r="B30" s="1274" t="s">
        <v>880</v>
      </c>
      <c r="C30" s="11">
        <f>SUM('FBPQ NL1'!D23:M28)</f>
        <v>94.69843999290394</v>
      </c>
    </row>
    <row r="31" spans="2:3" ht="12.75">
      <c r="B31" s="1275" t="s">
        <v>208</v>
      </c>
      <c r="C31" s="12">
        <f>SUM('FBPQ NL1'!D29:M34)</f>
        <v>132.50217251097257</v>
      </c>
    </row>
    <row r="33" s="1" customFormat="1" ht="12.75">
      <c r="A33" s="1267" t="s">
        <v>161</v>
      </c>
    </row>
    <row r="35" ht="5.25" customHeight="1"/>
    <row r="36" spans="2:9" s="2" customFormat="1" ht="26.25" customHeight="1">
      <c r="B36" s="1437" t="s">
        <v>344</v>
      </c>
      <c r="C36" s="1439"/>
      <c r="E36" s="1437" t="s">
        <v>365</v>
      </c>
      <c r="F36" s="1439"/>
      <c r="H36" s="1437" t="s">
        <v>115</v>
      </c>
      <c r="I36" s="1439"/>
    </row>
    <row r="37" spans="2:9" ht="27" customHeight="1">
      <c r="B37" s="1428" t="s">
        <v>154</v>
      </c>
      <c r="C37" s="1443"/>
      <c r="E37" s="1428" t="s">
        <v>640</v>
      </c>
      <c r="F37" s="1443"/>
      <c r="H37" s="1428" t="s">
        <v>116</v>
      </c>
      <c r="I37" s="1443"/>
    </row>
    <row r="38" spans="2:9" ht="12.75" customHeight="1">
      <c r="B38" s="13"/>
      <c r="C38" s="10"/>
      <c r="E38" s="3"/>
      <c r="F38" s="10"/>
      <c r="H38" s="3"/>
      <c r="I38" s="10"/>
    </row>
    <row r="39" spans="2:9" ht="12.75">
      <c r="B39" s="1271" t="s">
        <v>875</v>
      </c>
      <c r="C39" s="11">
        <f>SUM('FBPQ LR1'!D82:M82)-SUM('FBPQ LR1'!D110:M110)</f>
        <v>41.13256601314538</v>
      </c>
      <c r="E39" s="1274" t="s">
        <v>875</v>
      </c>
      <c r="F39" s="11">
        <f>SUM('FBPQ LR4'!D11:M11)</f>
        <v>10.2948140695399</v>
      </c>
      <c r="H39" s="1274" t="s">
        <v>875</v>
      </c>
      <c r="I39" s="11">
        <f>SUM('FBPQ LR6'!C28:L28)</f>
        <v>0</v>
      </c>
    </row>
    <row r="40" spans="2:10" ht="38.25">
      <c r="B40" s="1271" t="s">
        <v>438</v>
      </c>
      <c r="C40" s="11">
        <f>(SUM('FBPQ LR1'!D86:M86)-SUM('FBPQ LR1'!D114:M114))*(G50)</f>
        <v>19.84513086747566</v>
      </c>
      <c r="D40" s="1276" t="s">
        <v>536</v>
      </c>
      <c r="E40" s="1271" t="s">
        <v>438</v>
      </c>
      <c r="F40" s="11">
        <f>SUM('FBPQ LR4'!D12:M12)*(G50)</f>
        <v>8.217620272010354</v>
      </c>
      <c r="G40" s="1276" t="s">
        <v>536</v>
      </c>
      <c r="H40" s="1271" t="s">
        <v>438</v>
      </c>
      <c r="I40" s="11">
        <f>SUM('FBPQ LR6'!C29:L29)*(G50)</f>
        <v>0.40519858019359356</v>
      </c>
      <c r="J40" s="1276" t="s">
        <v>536</v>
      </c>
    </row>
    <row r="41" spans="2:9" ht="12.75">
      <c r="B41" s="1271" t="s">
        <v>874</v>
      </c>
      <c r="C41" s="11">
        <f>(SUM('FBPQ LR1'!D86:M86)-SUM('FBPQ LR1'!D114:M114))*(1-G50)</f>
        <v>80.5440248235173</v>
      </c>
      <c r="E41" s="1274" t="s">
        <v>874</v>
      </c>
      <c r="F41" s="11">
        <f>SUM('FBPQ LR4'!D12:M12)*(1-G50)</f>
        <v>33.35227243392996</v>
      </c>
      <c r="H41" s="1274" t="s">
        <v>874</v>
      </c>
      <c r="I41" s="11">
        <f>SUM('FBPQ LR6'!C29:L29)*(1-G50)</f>
        <v>1.6445507323438564</v>
      </c>
    </row>
    <row r="42" spans="2:9" ht="12.75">
      <c r="B42" s="1271" t="s">
        <v>880</v>
      </c>
      <c r="C42" s="11">
        <f>SUM('FBPQ LR1'!D90:M90)-SUM('FBPQ LR1'!D118:M118)</f>
        <v>0.3967625126607135</v>
      </c>
      <c r="E42" s="1274" t="s">
        <v>880</v>
      </c>
      <c r="F42" s="11">
        <f>SUM('FBPQ LR4'!D13:M13)</f>
        <v>95.08951791159691</v>
      </c>
      <c r="H42" s="1274" t="s">
        <v>880</v>
      </c>
      <c r="I42" s="11">
        <f>SUM('FBPQ LR6'!C30:L30)</f>
        <v>10.928432918880622</v>
      </c>
    </row>
    <row r="43" spans="2:9" ht="12.75">
      <c r="B43" s="1272" t="s">
        <v>208</v>
      </c>
      <c r="C43" s="12">
        <f>SUM('FBPQ LR1'!D94:M94)-SUM('FBPQ LR1'!D122:M122)</f>
        <v>0</v>
      </c>
      <c r="E43" s="1275" t="s">
        <v>208</v>
      </c>
      <c r="F43" s="12">
        <f>SUM('FBPQ LR4'!D14:M14)</f>
        <v>157.4934470737815</v>
      </c>
      <c r="H43" s="1275" t="s">
        <v>208</v>
      </c>
      <c r="I43" s="12">
        <f>SUM('FBPQ LR6'!C31:L31)</f>
        <v>10.137299167357355</v>
      </c>
    </row>
    <row r="46" spans="2:3" ht="24.75" customHeight="1">
      <c r="B46" s="1437" t="s">
        <v>117</v>
      </c>
      <c r="C46" s="1439"/>
    </row>
    <row r="47" spans="2:3" ht="27.75" customHeight="1">
      <c r="B47" s="1428" t="s">
        <v>118</v>
      </c>
      <c r="C47" s="1443"/>
    </row>
    <row r="48" spans="2:3" ht="12.75">
      <c r="B48" s="3"/>
      <c r="C48" s="10"/>
    </row>
    <row r="49" spans="2:3" ht="12.75">
      <c r="B49" s="1274" t="s">
        <v>875</v>
      </c>
      <c r="C49" s="11">
        <f>SUM('FBPQ NL1'!D10:M16)</f>
        <v>76.61206809775383</v>
      </c>
    </row>
    <row r="50" spans="2:7" ht="12.75">
      <c r="B50" s="1274" t="s">
        <v>438</v>
      </c>
      <c r="C50" s="11">
        <f>SUM('FBPQ NL1'!D21:M22)</f>
        <v>27.799384258028404</v>
      </c>
      <c r="D50" s="1277" t="s">
        <v>537</v>
      </c>
      <c r="F50" s="1277" t="s">
        <v>538</v>
      </c>
      <c r="G50" s="279">
        <f>C50/C51</f>
        <v>0.19768201785221498</v>
      </c>
    </row>
    <row r="51" spans="2:3" ht="12.75">
      <c r="B51" s="1271" t="s">
        <v>874</v>
      </c>
      <c r="C51" s="11">
        <f>SUM('FBPQ NL1'!D17:M20)</f>
        <v>140.62677303714563</v>
      </c>
    </row>
    <row r="52" spans="2:3" ht="12.75">
      <c r="B52" s="1274" t="s">
        <v>880</v>
      </c>
      <c r="C52" s="11">
        <f>SUM('FBPQ NL1'!D23:M28)</f>
        <v>94.69843999290394</v>
      </c>
    </row>
    <row r="53" spans="2:3" ht="12.75">
      <c r="B53" s="1275" t="s">
        <v>208</v>
      </c>
      <c r="C53" s="12">
        <f>SUM('FBPQ NL1'!D29:M34)</f>
        <v>132.50217251097257</v>
      </c>
    </row>
  </sheetData>
  <sheetProtection/>
  <mergeCells count="20">
    <mergeCell ref="E17:F17"/>
    <mergeCell ref="E16:F16"/>
    <mergeCell ref="B16:C16"/>
    <mergeCell ref="B17:C17"/>
    <mergeCell ref="H37:I37"/>
    <mergeCell ref="B36:C36"/>
    <mergeCell ref="E36:F36"/>
    <mergeCell ref="H36:I36"/>
    <mergeCell ref="B37:C37"/>
    <mergeCell ref="B25:C25"/>
    <mergeCell ref="B46:C46"/>
    <mergeCell ref="B47:C47"/>
    <mergeCell ref="F3:H3"/>
    <mergeCell ref="F4:H4"/>
    <mergeCell ref="H17:I17"/>
    <mergeCell ref="H16:I16"/>
    <mergeCell ref="B4:D4"/>
    <mergeCell ref="B3:D3"/>
    <mergeCell ref="B26:C26"/>
    <mergeCell ref="E37:F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3">
      <selection activeCell="I27" sqref="I27"/>
    </sheetView>
  </sheetViews>
  <sheetFormatPr defaultColWidth="11.42187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862" t="s">
        <v>267</v>
      </c>
      <c r="J1" s="857" t="s">
        <v>55</v>
      </c>
    </row>
    <row r="8" spans="1:12" ht="15">
      <c r="A8" s="354" t="s">
        <v>268</v>
      </c>
      <c r="B8" s="1254"/>
      <c r="C8" s="34"/>
      <c r="D8" s="1255"/>
      <c r="E8" s="1254"/>
      <c r="F8" s="1254"/>
      <c r="G8" s="1256"/>
      <c r="H8" s="355" t="s">
        <v>532</v>
      </c>
      <c r="I8" s="355" t="s">
        <v>533</v>
      </c>
      <c r="J8" s="355" t="s">
        <v>529</v>
      </c>
      <c r="K8" s="355" t="s">
        <v>534</v>
      </c>
      <c r="L8" s="355" t="s">
        <v>535</v>
      </c>
    </row>
    <row r="9" spans="8:12" ht="15">
      <c r="H9" s="355">
        <v>16</v>
      </c>
      <c r="I9" s="355">
        <v>17</v>
      </c>
      <c r="J9" s="355">
        <v>18</v>
      </c>
      <c r="K9" s="355">
        <v>19</v>
      </c>
      <c r="L9" s="355">
        <v>20</v>
      </c>
    </row>
    <row r="10" spans="8:12" ht="15">
      <c r="H10" s="355"/>
      <c r="I10" s="355"/>
      <c r="J10" s="355"/>
      <c r="K10" s="355"/>
      <c r="L10" s="355"/>
    </row>
    <row r="11" spans="2:12" ht="14.25">
      <c r="B11" s="1256" t="s">
        <v>234</v>
      </c>
      <c r="F11" t="s">
        <v>849</v>
      </c>
      <c r="H11" s="1257">
        <v>257.601727</v>
      </c>
      <c r="I11" s="1257">
        <v>263.83626</v>
      </c>
      <c r="J11" s="1257">
        <v>276.426855</v>
      </c>
      <c r="K11" s="1257"/>
      <c r="L11" s="1257"/>
    </row>
    <row r="12" spans="2:12" ht="14.25">
      <c r="B12" s="1256" t="s">
        <v>229</v>
      </c>
      <c r="F12" t="s">
        <v>849</v>
      </c>
      <c r="H12" s="1257">
        <v>2.120284</v>
      </c>
      <c r="I12" s="1257">
        <v>-2.12095</v>
      </c>
      <c r="J12" s="1257">
        <v>-4.598327</v>
      </c>
      <c r="K12" s="1257"/>
      <c r="L12" s="1257"/>
    </row>
    <row r="13" spans="2:12" ht="14.25">
      <c r="B13" s="1256" t="s">
        <v>230</v>
      </c>
      <c r="F13" t="s">
        <v>849</v>
      </c>
      <c r="H13" s="1257">
        <v>9.429665</v>
      </c>
      <c r="I13" s="1257">
        <v>8.56796</v>
      </c>
      <c r="J13" s="1257">
        <v>26.407908</v>
      </c>
      <c r="K13" s="1257"/>
      <c r="L13" s="1257"/>
    </row>
    <row r="14" spans="2:12" ht="14.25">
      <c r="B14" s="1256" t="s">
        <v>231</v>
      </c>
      <c r="F14" t="s">
        <v>849</v>
      </c>
      <c r="H14" s="1257">
        <v>8.56209</v>
      </c>
      <c r="I14" s="1257">
        <v>-5.379352</v>
      </c>
      <c r="J14" s="1257">
        <v>-1.480097</v>
      </c>
      <c r="K14" s="1257"/>
      <c r="L14" s="1257"/>
    </row>
    <row r="15" spans="2:12" ht="14.25">
      <c r="B15" s="1256"/>
      <c r="H15" s="1258"/>
      <c r="I15" s="1258"/>
      <c r="J15" s="1258"/>
      <c r="K15" s="1258"/>
      <c r="L15" s="1258"/>
    </row>
    <row r="16" spans="2:12" ht="14.25">
      <c r="B16" s="1256" t="s">
        <v>232</v>
      </c>
      <c r="F16" t="s">
        <v>849</v>
      </c>
      <c r="H16" s="1259">
        <v>260.589586</v>
      </c>
      <c r="I16" s="1259">
        <v>275.662622</v>
      </c>
      <c r="J16" s="1259">
        <v>299.716533</v>
      </c>
      <c r="K16" s="1259"/>
      <c r="L16" s="1259"/>
    </row>
    <row r="17" spans="2:12" ht="14.25">
      <c r="B17" s="1256"/>
      <c r="H17" s="1260"/>
      <c r="I17" s="1260"/>
      <c r="J17" s="1260"/>
      <c r="K17" s="1260"/>
      <c r="L17" s="1260"/>
    </row>
    <row r="18" spans="2:12" ht="14.25">
      <c r="B18" s="1256" t="s">
        <v>233</v>
      </c>
      <c r="F18" t="s">
        <v>849</v>
      </c>
      <c r="H18" s="1257">
        <v>255.53</v>
      </c>
      <c r="I18" s="1257">
        <v>274.28</v>
      </c>
      <c r="J18" s="1257">
        <v>287.86</v>
      </c>
      <c r="K18" s="1257"/>
      <c r="L18" s="1257"/>
    </row>
    <row r="19" spans="2:12" ht="14.25">
      <c r="B19" s="1256" t="s">
        <v>126</v>
      </c>
      <c r="F19" t="s">
        <v>849</v>
      </c>
      <c r="H19" s="1257">
        <v>1.83</v>
      </c>
      <c r="I19" s="1257">
        <v>-0.72</v>
      </c>
      <c r="J19" s="1257">
        <v>-3.93</v>
      </c>
      <c r="K19" s="1257"/>
      <c r="L19" s="1257"/>
    </row>
    <row r="20" spans="2:12" ht="14.25">
      <c r="B20" s="1256"/>
      <c r="H20" s="1258"/>
      <c r="I20" s="1258"/>
      <c r="J20" s="1258"/>
      <c r="K20" s="1258"/>
      <c r="L20" s="1258"/>
    </row>
    <row r="21" spans="2:12" ht="14.25">
      <c r="B21" s="1256" t="s">
        <v>127</v>
      </c>
      <c r="F21" t="s">
        <v>849</v>
      </c>
      <c r="H21" s="1261">
        <v>-5.059586</v>
      </c>
      <c r="I21" s="1261">
        <v>-1.382622</v>
      </c>
      <c r="J21" s="1261">
        <v>-11.856533</v>
      </c>
      <c r="K21" s="1261"/>
      <c r="L21" s="1261"/>
    </row>
    <row r="22" spans="8:12" ht="14.25">
      <c r="H22" s="1260"/>
      <c r="I22" s="1260"/>
      <c r="J22" s="1260"/>
      <c r="K22" s="1260"/>
      <c r="L22" s="1260"/>
    </row>
    <row r="23" spans="8:12" ht="14.25">
      <c r="H23" s="1260"/>
      <c r="I23" s="1260"/>
      <c r="J23" s="1260"/>
      <c r="K23" s="1260"/>
      <c r="L23" s="1260"/>
    </row>
    <row r="24" spans="1:12" ht="15">
      <c r="A24" s="354" t="s">
        <v>128</v>
      </c>
      <c r="H24" s="1260"/>
      <c r="I24" s="1260"/>
      <c r="J24" s="1260"/>
      <c r="K24" s="1260"/>
      <c r="L24" s="1260"/>
    </row>
    <row r="25" spans="8:12" ht="14.25">
      <c r="H25" s="1260"/>
      <c r="I25" s="1260"/>
      <c r="J25" s="1260"/>
      <c r="K25" s="1260"/>
      <c r="L25" s="1260"/>
    </row>
    <row r="26" spans="2:12" ht="14.25">
      <c r="B26" s="1256" t="s">
        <v>129</v>
      </c>
      <c r="F26" t="s">
        <v>849</v>
      </c>
      <c r="H26" s="1257">
        <v>0</v>
      </c>
      <c r="I26" s="1257">
        <v>0.012823</v>
      </c>
      <c r="J26" s="1257">
        <v>0.042558</v>
      </c>
      <c r="K26" s="1257"/>
      <c r="L26" s="1257"/>
    </row>
    <row r="27" spans="2:12" ht="14.25">
      <c r="B27" s="1256" t="s">
        <v>130</v>
      </c>
      <c r="F27" t="s">
        <v>849</v>
      </c>
      <c r="H27" s="1257">
        <v>0</v>
      </c>
      <c r="I27" s="1257">
        <v>0</v>
      </c>
      <c r="J27" s="1257">
        <v>0</v>
      </c>
      <c r="K27" s="1257"/>
      <c r="L27" s="1257"/>
    </row>
    <row r="28" spans="2:12" ht="14.25">
      <c r="B28" s="1256" t="s">
        <v>131</v>
      </c>
      <c r="F28" t="s">
        <v>849</v>
      </c>
      <c r="H28" s="1257">
        <v>0</v>
      </c>
      <c r="I28" s="1257">
        <v>0</v>
      </c>
      <c r="J28" s="1257">
        <v>-0.003022</v>
      </c>
      <c r="K28" s="1257"/>
      <c r="L28" s="1257"/>
    </row>
    <row r="29" spans="2:12" ht="14.25">
      <c r="B29" s="1256"/>
      <c r="H29" s="1258"/>
      <c r="I29" s="1258"/>
      <c r="J29" s="1258"/>
      <c r="K29" s="1258"/>
      <c r="L29" s="1258"/>
    </row>
    <row r="30" spans="2:12" ht="14.25">
      <c r="B30" s="946" t="s">
        <v>128</v>
      </c>
      <c r="F30" t="s">
        <v>849</v>
      </c>
      <c r="H30" s="1259">
        <v>0</v>
      </c>
      <c r="I30" s="1259">
        <v>0.012823</v>
      </c>
      <c r="J30" s="1259">
        <v>0.04558</v>
      </c>
      <c r="K30" s="1259"/>
      <c r="L30" s="1259"/>
    </row>
    <row r="31" spans="2:12" ht="14.25">
      <c r="B31" s="1256"/>
      <c r="H31" s="1260"/>
      <c r="I31" s="1260"/>
      <c r="J31" s="1260"/>
      <c r="K31" s="1260"/>
      <c r="L31" s="1260"/>
    </row>
    <row r="32" spans="2:12" ht="14.25">
      <c r="B32" s="1256" t="s">
        <v>179</v>
      </c>
      <c r="F32" t="s">
        <v>849</v>
      </c>
      <c r="H32" s="1257">
        <v>0</v>
      </c>
      <c r="I32" s="1257">
        <v>0.01</v>
      </c>
      <c r="J32" s="1257">
        <v>0.08</v>
      </c>
      <c r="K32" s="1257"/>
      <c r="L32" s="1257"/>
    </row>
    <row r="33" spans="2:12" ht="14.25">
      <c r="B33" s="1256"/>
      <c r="H33" s="1260"/>
      <c r="I33" s="1260"/>
      <c r="J33" s="1260"/>
      <c r="K33" s="1260"/>
      <c r="L33" s="1260"/>
    </row>
    <row r="34" spans="2:12" ht="14.25">
      <c r="B34" s="1256" t="s">
        <v>127</v>
      </c>
      <c r="F34" t="s">
        <v>849</v>
      </c>
      <c r="H34" s="1261">
        <v>0</v>
      </c>
      <c r="I34" s="1261">
        <v>-0.002823</v>
      </c>
      <c r="J34" s="1261">
        <v>0.03442</v>
      </c>
      <c r="K34" s="1261"/>
      <c r="L34" s="1261"/>
    </row>
    <row r="35" spans="8:12" ht="14.25">
      <c r="H35" s="1260"/>
      <c r="I35" s="1260"/>
      <c r="J35" s="1260"/>
      <c r="K35" s="1260"/>
      <c r="L35" s="1260"/>
    </row>
    <row r="36" spans="8:12" ht="14.25">
      <c r="H36" s="1260"/>
      <c r="I36" s="1260"/>
      <c r="J36" s="1260"/>
      <c r="K36" s="1260"/>
      <c r="L36" s="1260"/>
    </row>
    <row r="37" spans="1:12" ht="15">
      <c r="A37" s="354" t="s">
        <v>180</v>
      </c>
      <c r="H37" s="1262"/>
      <c r="I37" s="1262"/>
      <c r="J37" s="1262"/>
      <c r="K37" s="1262"/>
      <c r="L37" s="1262"/>
    </row>
    <row r="38" spans="2:12" ht="14.25">
      <c r="B38" s="946" t="s">
        <v>210</v>
      </c>
      <c r="F38" t="s">
        <v>849</v>
      </c>
      <c r="H38" s="1257">
        <v>9.06</v>
      </c>
      <c r="I38" s="1257">
        <v>8.98</v>
      </c>
      <c r="J38" s="1257">
        <v>9.85</v>
      </c>
      <c r="K38" s="1257"/>
      <c r="L38" s="1257"/>
    </row>
    <row r="39" spans="2:12" ht="14.25">
      <c r="B39" s="1256" t="s">
        <v>89</v>
      </c>
      <c r="F39" t="s">
        <v>849</v>
      </c>
      <c r="H39" s="1257">
        <v>6.738174</v>
      </c>
      <c r="I39" s="1257">
        <v>4.387571</v>
      </c>
      <c r="J39" s="1263">
        <v>0</v>
      </c>
      <c r="K39" s="1263"/>
      <c r="L39" s="1263"/>
    </row>
    <row r="40" spans="3:12" ht="14.25">
      <c r="C40" s="1256"/>
      <c r="H40" s="1260"/>
      <c r="I40" s="1260"/>
      <c r="J40" s="1260"/>
      <c r="K40" s="1260"/>
      <c r="L40" s="1260"/>
    </row>
    <row r="41" spans="8:12" ht="14.25">
      <c r="H41" s="1264">
        <v>15.798174</v>
      </c>
      <c r="I41" s="1264">
        <v>13.367571</v>
      </c>
      <c r="J41" s="1264">
        <v>9.85</v>
      </c>
      <c r="K41" s="1264"/>
      <c r="L41" s="1264"/>
    </row>
    <row r="42" spans="8:12" ht="14.25">
      <c r="H42" s="1262"/>
      <c r="I42" s="1262"/>
      <c r="J42" s="1262"/>
      <c r="K42" s="1262"/>
      <c r="L42" s="1262"/>
    </row>
    <row r="43" spans="8:12" ht="14.25">
      <c r="H43" s="1262"/>
      <c r="I43" s="1262"/>
      <c r="J43" s="1262"/>
      <c r="K43" s="1262"/>
      <c r="L43" s="1262"/>
    </row>
    <row r="44" spans="1:12" ht="15">
      <c r="A44" s="354" t="s">
        <v>431</v>
      </c>
      <c r="H44" s="1262"/>
      <c r="I44" s="1262"/>
      <c r="J44" s="1262"/>
      <c r="K44" s="1262"/>
      <c r="L44" s="1262"/>
    </row>
    <row r="45" spans="1:12" ht="15">
      <c r="A45" s="354"/>
      <c r="B45" s="1256" t="s">
        <v>432</v>
      </c>
      <c r="F45" t="s">
        <v>849</v>
      </c>
      <c r="H45" s="1257">
        <v>63.79</v>
      </c>
      <c r="I45" s="1257">
        <v>67.66</v>
      </c>
      <c r="J45" s="1257">
        <v>104.02</v>
      </c>
      <c r="K45" s="1257"/>
      <c r="L45" s="1257"/>
    </row>
    <row r="46" spans="2:12" ht="14.25">
      <c r="B46" s="1256" t="s">
        <v>433</v>
      </c>
      <c r="F46" t="s">
        <v>849</v>
      </c>
      <c r="H46" s="1265">
        <v>4.87</v>
      </c>
      <c r="I46" s="1265">
        <v>4.63</v>
      </c>
      <c r="J46" s="1265">
        <v>4.45</v>
      </c>
      <c r="K46" s="1265"/>
      <c r="L46" s="1265"/>
    </row>
    <row r="47" spans="2:12" ht="14.25">
      <c r="B47" s="1256" t="s">
        <v>434</v>
      </c>
      <c r="F47" t="s">
        <v>849</v>
      </c>
      <c r="H47" s="1265">
        <v>2.89</v>
      </c>
      <c r="I47" s="1265">
        <v>2.57</v>
      </c>
      <c r="J47" s="1265">
        <v>2.22</v>
      </c>
      <c r="K47" s="1265"/>
      <c r="L47" s="1265"/>
    </row>
    <row r="48" spans="8:12" ht="14.25">
      <c r="H48" s="1262"/>
      <c r="I48" s="1262"/>
      <c r="J48" s="1262"/>
      <c r="K48" s="1262"/>
      <c r="L48" s="1262"/>
    </row>
    <row r="49" spans="8:12" ht="14.25">
      <c r="H49" s="1261">
        <v>71.55</v>
      </c>
      <c r="I49" s="1261">
        <v>74.86</v>
      </c>
      <c r="J49" s="1261">
        <v>110.69</v>
      </c>
      <c r="K49" s="1261"/>
      <c r="L49" s="1261"/>
    </row>
    <row r="50" spans="8:12" ht="14.25">
      <c r="H50" s="1256"/>
      <c r="I50" s="1256"/>
      <c r="J50" s="1256"/>
      <c r="K50" s="1256"/>
      <c r="L50" s="1256"/>
    </row>
    <row r="51" spans="8:12" ht="14.25">
      <c r="H51" s="1266"/>
      <c r="I51" s="1266"/>
      <c r="J51" s="1266"/>
      <c r="K51" s="1266"/>
      <c r="L51" s="1266"/>
    </row>
    <row r="52" spans="8:12" ht="14.25">
      <c r="H52" s="1256"/>
      <c r="I52" s="1256"/>
      <c r="J52" s="1256"/>
      <c r="K52" s="1256"/>
      <c r="L52" s="1256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280" t="s">
        <v>726</v>
      </c>
      <c r="D1" s="280" t="s">
        <v>722</v>
      </c>
      <c r="E1" s="280" t="s">
        <v>723</v>
      </c>
      <c r="F1" s="280" t="s">
        <v>724</v>
      </c>
      <c r="G1" s="280" t="s">
        <v>725</v>
      </c>
      <c r="H1" s="280" t="s">
        <v>535</v>
      </c>
      <c r="J1" s="857" t="s">
        <v>55</v>
      </c>
    </row>
    <row r="2" spans="3:8" ht="12.75">
      <c r="C2" s="280" t="s">
        <v>727</v>
      </c>
      <c r="D2" s="280" t="s">
        <v>727</v>
      </c>
      <c r="E2" s="280" t="s">
        <v>727</v>
      </c>
      <c r="F2" s="280" t="s">
        <v>727</v>
      </c>
      <c r="G2" s="280" t="s">
        <v>727</v>
      </c>
      <c r="H2" s="280" t="s">
        <v>727</v>
      </c>
    </row>
    <row r="3" spans="1:9" ht="12.75">
      <c r="A3">
        <v>1</v>
      </c>
      <c r="B3" t="s">
        <v>445</v>
      </c>
      <c r="D3" s="224">
        <v>947.9</v>
      </c>
      <c r="E3" s="224">
        <v>989.2</v>
      </c>
      <c r="F3" s="224">
        <v>1030.2</v>
      </c>
      <c r="G3" s="224">
        <v>1064.8</v>
      </c>
      <c r="H3" s="224">
        <v>1093.2</v>
      </c>
      <c r="I3" t="s">
        <v>806</v>
      </c>
    </row>
    <row r="4" spans="1:9" ht="12.75">
      <c r="A4">
        <v>2</v>
      </c>
      <c r="B4" t="s">
        <v>447</v>
      </c>
      <c r="D4" s="224">
        <v>117.8</v>
      </c>
      <c r="E4" s="224">
        <v>117.5</v>
      </c>
      <c r="F4" s="224">
        <v>117</v>
      </c>
      <c r="G4" s="224">
        <v>116.6</v>
      </c>
      <c r="H4" s="224">
        <v>116.4</v>
      </c>
      <c r="I4" t="s">
        <v>806</v>
      </c>
    </row>
    <row r="5" spans="1:9" ht="12.75">
      <c r="A5">
        <v>3</v>
      </c>
      <c r="B5" t="s">
        <v>139</v>
      </c>
      <c r="D5" s="224">
        <v>-76.5</v>
      </c>
      <c r="E5" s="224">
        <v>-76.5</v>
      </c>
      <c r="F5" s="224">
        <v>-82.4</v>
      </c>
      <c r="G5" s="224">
        <v>-88.2</v>
      </c>
      <c r="H5" s="224">
        <v>-94.1</v>
      </c>
      <c r="I5" t="s">
        <v>806</v>
      </c>
    </row>
    <row r="6" spans="1:9" ht="12.75">
      <c r="A6">
        <v>4</v>
      </c>
      <c r="B6" t="s">
        <v>146</v>
      </c>
      <c r="D6" s="224">
        <v>989.2</v>
      </c>
      <c r="E6" s="224">
        <v>1030.2</v>
      </c>
      <c r="F6" s="224">
        <v>1064.8</v>
      </c>
      <c r="G6" s="224">
        <v>1093.2</v>
      </c>
      <c r="H6" s="224">
        <v>1115.6</v>
      </c>
      <c r="I6" t="s">
        <v>806</v>
      </c>
    </row>
    <row r="7" spans="1:8" ht="12.75">
      <c r="A7">
        <v>5</v>
      </c>
      <c r="B7" t="s">
        <v>857</v>
      </c>
      <c r="D7" s="224">
        <v>947.9</v>
      </c>
      <c r="E7" s="224"/>
      <c r="F7" s="224"/>
      <c r="G7" s="224"/>
      <c r="H7" s="224">
        <v>851.7</v>
      </c>
    </row>
    <row r="8" spans="1:8" ht="12.75">
      <c r="A8">
        <v>6</v>
      </c>
      <c r="B8" t="s">
        <v>721</v>
      </c>
      <c r="D8" s="224"/>
      <c r="E8" s="224"/>
      <c r="F8" s="224"/>
      <c r="G8" s="224"/>
      <c r="H8" s="224">
        <v>96.2</v>
      </c>
    </row>
    <row r="9" spans="1:8" ht="12.75">
      <c r="A9" s="862" t="s">
        <v>883</v>
      </c>
      <c r="D9" s="224"/>
      <c r="E9" s="224"/>
      <c r="F9" s="224"/>
      <c r="G9" s="224"/>
      <c r="H9" s="224"/>
    </row>
    <row r="10" spans="1:9" ht="12.75">
      <c r="A10">
        <v>7</v>
      </c>
      <c r="B10" t="s">
        <v>858</v>
      </c>
      <c r="D10" s="224">
        <v>75.2</v>
      </c>
      <c r="E10" s="224">
        <v>77.7</v>
      </c>
      <c r="F10" s="224">
        <v>78.2</v>
      </c>
      <c r="G10" s="224">
        <v>76.9</v>
      </c>
      <c r="H10" s="224">
        <v>76.2</v>
      </c>
      <c r="I10" t="s">
        <v>806</v>
      </c>
    </row>
    <row r="11" spans="1:9" ht="12.75">
      <c r="A11">
        <v>8</v>
      </c>
      <c r="B11" t="s">
        <v>859</v>
      </c>
      <c r="D11" s="224">
        <v>110.3</v>
      </c>
      <c r="E11" s="224">
        <v>109.9</v>
      </c>
      <c r="F11" s="224">
        <v>109.4</v>
      </c>
      <c r="G11" s="224">
        <v>109</v>
      </c>
      <c r="H11" s="224">
        <v>108.8</v>
      </c>
      <c r="I11" t="s">
        <v>806</v>
      </c>
    </row>
    <row r="12" spans="1:9" ht="12.75">
      <c r="A12">
        <v>9</v>
      </c>
      <c r="B12" t="s">
        <v>860</v>
      </c>
      <c r="D12" s="224">
        <v>13</v>
      </c>
      <c r="E12" s="224">
        <v>13.1</v>
      </c>
      <c r="F12" s="224">
        <v>13.1</v>
      </c>
      <c r="G12" s="224">
        <v>13.1</v>
      </c>
      <c r="H12" s="224">
        <v>13.1</v>
      </c>
      <c r="I12" t="s">
        <v>806</v>
      </c>
    </row>
    <row r="13" spans="1:9" ht="12.75">
      <c r="A13">
        <v>10</v>
      </c>
      <c r="B13" t="s">
        <v>244</v>
      </c>
      <c r="D13" s="224">
        <v>27.2</v>
      </c>
      <c r="E13" s="224">
        <v>26.3</v>
      </c>
      <c r="F13" s="224">
        <v>26.4</v>
      </c>
      <c r="G13" s="224">
        <v>26.8</v>
      </c>
      <c r="H13" s="224">
        <v>26.8</v>
      </c>
      <c r="I13" t="s">
        <v>806</v>
      </c>
    </row>
    <row r="14" spans="1:9" ht="12.75">
      <c r="A14">
        <v>11</v>
      </c>
      <c r="B14" t="s">
        <v>861</v>
      </c>
      <c r="D14" s="224">
        <v>-0.8</v>
      </c>
      <c r="E14" s="224">
        <v>0.6</v>
      </c>
      <c r="F14" s="224">
        <v>-0.6</v>
      </c>
      <c r="G14" s="224">
        <v>-0.6</v>
      </c>
      <c r="H14" s="224">
        <v>-0.2</v>
      </c>
      <c r="I14" t="s">
        <v>806</v>
      </c>
    </row>
    <row r="15" spans="1:9" ht="12.75">
      <c r="A15">
        <v>12</v>
      </c>
      <c r="B15" t="s">
        <v>770</v>
      </c>
      <c r="D15" s="224">
        <v>1.4</v>
      </c>
      <c r="E15" s="224">
        <v>1.4</v>
      </c>
      <c r="F15" s="224">
        <v>1.5</v>
      </c>
      <c r="G15" s="224">
        <v>1.5</v>
      </c>
      <c r="H15" s="224">
        <v>1.6</v>
      </c>
      <c r="I15" t="s">
        <v>806</v>
      </c>
    </row>
    <row r="16" spans="1:9" ht="12.75">
      <c r="A16">
        <v>13</v>
      </c>
      <c r="B16" t="s">
        <v>20</v>
      </c>
      <c r="D16" s="1251" t="s">
        <v>948</v>
      </c>
      <c r="E16" s="1251" t="s">
        <v>948</v>
      </c>
      <c r="F16" s="1251" t="s">
        <v>948</v>
      </c>
      <c r="G16" s="1251" t="s">
        <v>948</v>
      </c>
      <c r="H16" s="1251" t="s">
        <v>948</v>
      </c>
      <c r="I16" t="s">
        <v>806</v>
      </c>
    </row>
    <row r="17" spans="1:9" ht="12.75">
      <c r="A17">
        <v>14</v>
      </c>
      <c r="B17" t="s">
        <v>21</v>
      </c>
      <c r="D17" s="1251" t="s">
        <v>948</v>
      </c>
      <c r="E17" s="1251" t="s">
        <v>948</v>
      </c>
      <c r="F17" s="1251" t="s">
        <v>948</v>
      </c>
      <c r="G17" s="1251" t="s">
        <v>948</v>
      </c>
      <c r="H17" s="1251" t="s">
        <v>948</v>
      </c>
      <c r="I17" t="s">
        <v>806</v>
      </c>
    </row>
    <row r="18" spans="1:9" ht="12.75">
      <c r="A18">
        <v>15</v>
      </c>
      <c r="B18" t="s">
        <v>150</v>
      </c>
      <c r="D18" s="1251">
        <v>1.5</v>
      </c>
      <c r="E18" s="1251" t="s">
        <v>948</v>
      </c>
      <c r="F18" s="1251" t="s">
        <v>948</v>
      </c>
      <c r="G18" s="1251" t="s">
        <v>948</v>
      </c>
      <c r="H18" s="1251" t="s">
        <v>948</v>
      </c>
      <c r="I18" t="s">
        <v>806</v>
      </c>
    </row>
    <row r="19" spans="1:9" ht="12.75">
      <c r="A19">
        <v>16</v>
      </c>
      <c r="B19" t="s">
        <v>378</v>
      </c>
      <c r="C19" s="862"/>
      <c r="D19" s="1252">
        <v>227.7</v>
      </c>
      <c r="E19" s="1252">
        <v>229</v>
      </c>
      <c r="F19" s="1252">
        <v>228.1</v>
      </c>
      <c r="G19" s="1252">
        <v>226.8</v>
      </c>
      <c r="H19" s="1252">
        <v>226.3</v>
      </c>
      <c r="I19" t="s">
        <v>806</v>
      </c>
    </row>
    <row r="20" spans="1:9" ht="12.75">
      <c r="A20">
        <v>17</v>
      </c>
      <c r="B20" t="s">
        <v>22</v>
      </c>
      <c r="D20" s="224">
        <v>221.6</v>
      </c>
      <c r="E20" s="224">
        <v>211.2</v>
      </c>
      <c r="F20" s="224">
        <v>199.3</v>
      </c>
      <c r="G20" s="224">
        <v>187.7</v>
      </c>
      <c r="H20" s="224">
        <v>177.5</v>
      </c>
      <c r="I20" t="s">
        <v>806</v>
      </c>
    </row>
    <row r="21" spans="1:8" ht="12.75">
      <c r="A21">
        <v>18</v>
      </c>
      <c r="B21" t="s">
        <v>151</v>
      </c>
      <c r="D21" s="224"/>
      <c r="E21" s="224"/>
      <c r="F21" s="224"/>
      <c r="G21" s="224"/>
      <c r="H21" s="224">
        <v>96.2</v>
      </c>
    </row>
    <row r="22" spans="1:8" ht="12.75">
      <c r="A22">
        <v>19</v>
      </c>
      <c r="B22" s="946" t="s">
        <v>23</v>
      </c>
      <c r="D22" s="224"/>
      <c r="E22" s="224"/>
      <c r="F22" s="224"/>
      <c r="G22" s="224"/>
      <c r="H22" s="1252">
        <v>1093.5</v>
      </c>
    </row>
    <row r="23" spans="1:8" ht="12.75">
      <c r="A23" s="862" t="s">
        <v>414</v>
      </c>
      <c r="D23" s="224"/>
      <c r="E23" s="224"/>
      <c r="F23" s="224"/>
      <c r="G23" s="224"/>
      <c r="H23" s="224"/>
    </row>
    <row r="24" spans="1:9" ht="12.75">
      <c r="A24">
        <v>20</v>
      </c>
      <c r="B24" t="s">
        <v>135</v>
      </c>
      <c r="D24" s="1253">
        <v>1</v>
      </c>
      <c r="E24" s="1253">
        <v>1.009</v>
      </c>
      <c r="F24" s="1253">
        <v>1.02</v>
      </c>
      <c r="G24" s="1253">
        <v>1.033</v>
      </c>
      <c r="H24" s="1253">
        <v>1.044</v>
      </c>
      <c r="I24" t="s">
        <v>806</v>
      </c>
    </row>
    <row r="25" spans="1:9" ht="12.75">
      <c r="A25">
        <v>21</v>
      </c>
      <c r="B25" t="s">
        <v>136</v>
      </c>
      <c r="D25" s="1253">
        <v>0.973</v>
      </c>
      <c r="E25" s="1253">
        <v>0.931</v>
      </c>
      <c r="F25" s="1253">
        <v>0.891</v>
      </c>
      <c r="G25" s="1253">
        <v>0.855</v>
      </c>
      <c r="H25" s="1253">
        <v>0.819</v>
      </c>
      <c r="I25" t="s">
        <v>806</v>
      </c>
    </row>
    <row r="26" spans="1:9" ht="12.75">
      <c r="A26">
        <v>22</v>
      </c>
      <c r="B26" t="s">
        <v>137</v>
      </c>
      <c r="C26">
        <v>256.2</v>
      </c>
      <c r="D26" s="224">
        <v>241.2</v>
      </c>
      <c r="E26" s="224">
        <v>243.4</v>
      </c>
      <c r="F26" s="224">
        <v>246.1</v>
      </c>
      <c r="G26" s="224">
        <v>249.1</v>
      </c>
      <c r="H26" s="224">
        <v>251.8</v>
      </c>
      <c r="I26" t="s">
        <v>806</v>
      </c>
    </row>
    <row r="27" spans="1:9" ht="12.75">
      <c r="A27">
        <v>23</v>
      </c>
      <c r="B27" t="s">
        <v>24</v>
      </c>
      <c r="D27" s="224">
        <v>3.5</v>
      </c>
      <c r="E27" s="224">
        <v>3.5</v>
      </c>
      <c r="F27" s="224">
        <v>3.5</v>
      </c>
      <c r="G27" s="224">
        <v>3.5</v>
      </c>
      <c r="H27" s="224">
        <v>3.5</v>
      </c>
      <c r="I27" t="s">
        <v>806</v>
      </c>
    </row>
    <row r="28" spans="1:9" ht="12.75">
      <c r="A28">
        <v>24</v>
      </c>
      <c r="B28" t="s">
        <v>111</v>
      </c>
      <c r="D28" s="224">
        <v>244.7</v>
      </c>
      <c r="E28" s="224">
        <v>246.9</v>
      </c>
      <c r="F28" s="224">
        <v>249.6</v>
      </c>
      <c r="G28" s="224">
        <v>252.6</v>
      </c>
      <c r="H28" s="224">
        <v>255.3</v>
      </c>
      <c r="I28" t="s">
        <v>806</v>
      </c>
    </row>
    <row r="29" spans="1:9" ht="12.75">
      <c r="A29">
        <v>25</v>
      </c>
      <c r="B29" t="s">
        <v>25</v>
      </c>
      <c r="D29" s="224">
        <v>238.2</v>
      </c>
      <c r="E29" s="224">
        <v>227.7</v>
      </c>
      <c r="F29" s="224">
        <v>218.1</v>
      </c>
      <c r="G29" s="224">
        <v>209.2</v>
      </c>
      <c r="H29" s="224">
        <v>200.3</v>
      </c>
      <c r="I29" t="s">
        <v>806</v>
      </c>
    </row>
    <row r="30" spans="1:8" ht="12.75">
      <c r="A30">
        <v>26</v>
      </c>
      <c r="B30" t="s">
        <v>23</v>
      </c>
      <c r="D30" s="224"/>
      <c r="E30" s="224"/>
      <c r="F30" s="224"/>
      <c r="G30" s="224"/>
      <c r="H30" s="1252">
        <v>1093.5</v>
      </c>
    </row>
    <row r="32" ht="12.75">
      <c r="A32" t="s">
        <v>745</v>
      </c>
    </row>
    <row r="33" ht="12.75">
      <c r="A33" s="857" t="s">
        <v>940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syeo</cp:lastModifiedBy>
  <cp:lastPrinted>2012-12-03T11:12:07Z</cp:lastPrinted>
  <dcterms:created xsi:type="dcterms:W3CDTF">2009-07-13T08:35:25Z</dcterms:created>
  <dcterms:modified xsi:type="dcterms:W3CDTF">2012-12-03T11:12:08Z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