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855" windowWidth="15480" windowHeight="9660" tabRatio="834" activeTab="0"/>
  </bookViews>
  <sheets>
    <sheet name="Allocation Summary" sheetId="1" r:id="rId1"/>
    <sheet name="WPD - Final Allocation" sheetId="2" r:id="rId2"/>
    <sheet name="Calc - WPD Opex Allocation" sheetId="3" r:id="rId3"/>
    <sheet name="Calc-Units" sheetId="4" r:id="rId4"/>
    <sheet name="Calc-Drivers" sheetId="5" r:id="rId5"/>
    <sheet name="Calc-MEAV" sheetId="6" r:id="rId6"/>
    <sheet name="Calc-Net capex" sheetId="7" r:id="rId7"/>
    <sheet name="Summary of revenue" sheetId="8" r:id="rId8"/>
    <sheet name="Allowed revenue -DPCR4" sheetId="9" r:id="rId9"/>
    <sheet name="FBPQ T4" sheetId="10" r:id="rId10"/>
    <sheet name="FBPQ LR1" sheetId="11" r:id="rId11"/>
    <sheet name="FBPQ LR4" sheetId="12" r:id="rId12"/>
    <sheet name="FBPQ LR6" sheetId="13" r:id="rId13"/>
    <sheet name="FBPQ NL1" sheetId="14" r:id="rId14"/>
    <sheet name="FBPQ C2" sheetId="15" r:id="rId15"/>
    <sheet name="RRP 1.3" sheetId="16" r:id="rId16"/>
    <sheet name="RRP 2.3" sheetId="17" r:id="rId17"/>
    <sheet name="RRP 2.4" sheetId="18" r:id="rId18"/>
    <sheet name="RRP 2.6" sheetId="19" r:id="rId19"/>
    <sheet name="RRP 5.1" sheetId="20" r:id="rId20"/>
  </sheets>
  <definedNames>
    <definedName name="_xlnm.Print_Titles" localSheetId="19">'RRP 5.1'!$A:$B,'RRP 5.1'!$1:$2</definedName>
  </definedNames>
  <calcPr fullCalcOnLoad="1"/>
</workbook>
</file>

<file path=xl/sharedStrings.xml><?xml version="1.0" encoding="utf-8"?>
<sst xmlns="http://schemas.openxmlformats.org/spreadsheetml/2006/main" count="2772" uniqueCount="804">
  <si>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</si>
  <si>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</si>
  <si>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</si>
  <si>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</si>
  <si>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% Cost capitalised (from DCPR settlement - same for all DNOs)</t>
  </si>
  <si>
    <t>Unallocated costs = Total - costs allocated to network tiers</t>
  </si>
  <si>
    <t>Costs allocated to netwrok tiers in RRP - from 2.2 amd 2.3</t>
  </si>
  <si>
    <t>Legacy Basic Meter Asset Provision Revenue</t>
  </si>
  <si>
    <t>Step 1 - extract total activity costs from cost report</t>
  </si>
  <si>
    <t>Step 2. Idnetify costs inlcuded in price control revenues to be allocated by MEAV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</si>
  <si>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</si>
  <si>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</si>
  <si>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</si>
  <si>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</si>
  <si>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</si>
  <si>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</si>
  <si>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</si>
  <si>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</si>
  <si>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</si>
  <si>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</si>
  <si>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</si>
  <si>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</si>
  <si>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</si>
  <si>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</si>
  <si>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</si>
  <si>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</si>
  <si>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MEAV  - LV, LV/HV, HV, EHV, 132kV split</t>
  </si>
  <si>
    <t>LV/HV</t>
  </si>
  <si>
    <t>0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</si>
  <si>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</si>
  <si>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</si>
  <si>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</si>
  <si>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</si>
  <si>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</si>
  <si>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</si>
  <si>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</si>
  <si>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</si>
  <si>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</si>
  <si>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</si>
  <si>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</si>
  <si>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</si>
  <si>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</si>
  <si>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</si>
  <si>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</si>
  <si>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</si>
  <si>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</si>
  <si>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</si>
  <si>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</si>
  <si>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</si>
  <si>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</si>
  <si>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</si>
  <si>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</si>
  <si>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33kV</t>
  </si>
  <si>
    <t>Net (gross directs - customer contributions directs and indirects)</t>
  </si>
  <si>
    <t>Demand trends</t>
  </si>
  <si>
    <t>Estimated system maximum demand</t>
  </si>
  <si>
    <t>Insert name of cost driver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</si>
  <si>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</si>
  <si>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</si>
  <si>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</si>
  <si>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</si>
  <si>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</si>
  <si>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</si>
  <si>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</si>
  <si>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</si>
  <si>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</si>
  <si>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</si>
  <si>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</si>
  <si>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</si>
  <si>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</si>
  <si>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</si>
  <si>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</si>
  <si>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</si>
  <si>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</si>
  <si>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Incentive revenue</t>
  </si>
  <si>
    <t>Excluded</t>
  </si>
  <si>
    <t>I) DPCR3 type presentation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</si>
  <si>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</si>
  <si>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</si>
  <si>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</si>
  <si>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</si>
  <si>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</si>
  <si>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</si>
  <si>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</si>
  <si>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</si>
  <si>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</si>
  <si>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</si>
  <si>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n</t>
  </si>
  <si>
    <t>Quality Reward</t>
  </si>
  <si>
    <t>Present value of opening/closing RAV</t>
  </si>
  <si>
    <t>DPCR3 costs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</si>
  <si>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</si>
  <si>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</si>
  <si>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</si>
  <si>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</si>
  <si>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</si>
  <si>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</si>
  <si>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Sum connecions/reinforcement/replacement capex -see below</t>
  </si>
  <si>
    <t>Step 6.   Adjust costs so that they are aligned with the definition of opex in the allowed price control revenues</t>
  </si>
  <si>
    <t>Operating costs (excl pensions)</t>
  </si>
  <si>
    <t>Capital elements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</si>
  <si>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</si>
  <si>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</si>
  <si>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</si>
  <si>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</si>
  <si>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</si>
  <si>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</si>
  <si>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</si>
  <si>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</si>
  <si>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</si>
  <si>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</si>
  <si>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</si>
  <si>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</si>
  <si>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</si>
  <si>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</si>
  <si>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</si>
  <si>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</si>
  <si>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</si>
  <si>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</si>
  <si>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</si>
  <si>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</si>
  <si>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</si>
  <si>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</si>
  <si>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</si>
  <si>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</si>
  <si>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</si>
  <si>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</si>
  <si>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</si>
  <si>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</si>
  <si>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</si>
  <si>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</si>
  <si>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</si>
  <si>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</si>
  <si>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</si>
  <si>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</si>
  <si>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</si>
  <si>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</si>
  <si>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</si>
  <si>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</si>
  <si>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</si>
  <si>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</si>
  <si>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</si>
  <si>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</si>
  <si>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Other Costs from full activitty cost allocation</t>
  </si>
  <si>
    <t>Cash typical costs (excluding disallowed related party margins)</t>
  </si>
  <si>
    <t>Weighted Average (after incentive and pencsion deficit costs removed and weighted by units flowing)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</si>
  <si>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</si>
  <si>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</si>
  <si>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</si>
  <si>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</si>
  <si>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</si>
  <si>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</si>
  <si>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</si>
  <si>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Electricity Distribution Industry Activity Costs - individual DNO input</t>
  </si>
  <si>
    <t>Pension deficit payments made by a related party and not charged in the regulatory accounts of the DNO</t>
  </si>
  <si>
    <t>OVERALL OPEX SPLIT FROM "CALC WPD OPEX ALLOCATYION" SHEET</t>
  </si>
  <si>
    <t>CAUTION - THIS PACK DOES NOT BALANCE</t>
  </si>
  <si>
    <t>Total activity cost - from RRP 1.3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</si>
  <si>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</si>
  <si>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</si>
  <si>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</si>
  <si>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</si>
  <si>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</si>
  <si>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</si>
  <si>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</si>
  <si>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</si>
  <si>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</si>
  <si>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</si>
  <si>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Proportion of cost allocated to each network tier</t>
  </si>
  <si>
    <t>LV only</t>
  </si>
  <si>
    <t>HV only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</si>
  <si>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</si>
  <si>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</si>
  <si>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</si>
  <si>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</si>
  <si>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</si>
  <si>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</si>
  <si>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</si>
  <si>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</si>
  <si>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</si>
  <si>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</si>
  <si>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</si>
  <si>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</si>
  <si>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</si>
  <si>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</si>
  <si>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</si>
  <si>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</si>
  <si>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Sum of MEAV of asset classified in voltage tier (as calculated below)</t>
  </si>
  <si>
    <t>Drivers - LV, HV, EHV split</t>
  </si>
  <si>
    <t>WPD Method</t>
  </si>
  <si>
    <t>Unallocated</t>
  </si>
  <si>
    <t>Depriciation</t>
  </si>
  <si>
    <t>Customer contributions (directs) for connections at 132kV</t>
  </si>
  <si>
    <t>Non-operational property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</si>
  <si>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</si>
  <si>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</si>
  <si>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</si>
  <si>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</si>
  <si>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</si>
  <si>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</si>
  <si>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</si>
  <si>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</si>
  <si>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</si>
  <si>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</si>
  <si>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</si>
  <si>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</si>
  <si>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</si>
  <si>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</si>
  <si>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</si>
  <si>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</si>
  <si>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Connections spend minus customer contrbutions (from FBPQ LR1)</t>
  </si>
  <si>
    <t>FBPQ capex - see "Calc Net capex"</t>
  </si>
  <si>
    <t>LV Service (OHL)</t>
  </si>
  <si>
    <t>Total capital</t>
  </si>
  <si>
    <t>Total capital ex depreciation</t>
  </si>
  <si>
    <t>Non-load new &amp; replacement assets (net of contributions)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</si>
  <si>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</si>
  <si>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</si>
  <si>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</si>
  <si>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</si>
  <si>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</si>
  <si>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</si>
  <si>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</si>
  <si>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</si>
  <si>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</si>
  <si>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</si>
  <si>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</si>
  <si>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</si>
  <si>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</si>
  <si>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</si>
  <si>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</si>
  <si>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</si>
  <si>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</si>
  <si>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</si>
  <si>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</si>
  <si>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</si>
  <si>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</si>
  <si>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</si>
  <si>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</si>
  <si>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</si>
  <si>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</si>
  <si>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</si>
  <si>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</si>
  <si>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</si>
  <si>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</si>
  <si>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</si>
  <si>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</si>
  <si>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</si>
  <si>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</si>
  <si>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</si>
  <si>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</si>
  <si>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</si>
  <si>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</si>
  <si>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</si>
  <si>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</si>
  <si>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</si>
  <si>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</si>
  <si>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</si>
  <si>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</si>
  <si>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</si>
  <si>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</si>
  <si>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</si>
  <si>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</si>
  <si>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</si>
  <si>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</si>
  <si>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</si>
  <si>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</si>
  <si>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</si>
  <si>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</si>
  <si>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</si>
  <si>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</si>
  <si>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</si>
  <si>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</si>
  <si>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</si>
  <si>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</si>
  <si>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</si>
  <si>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</si>
  <si>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</si>
  <si>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</si>
  <si>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</si>
  <si>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</si>
  <si>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</si>
  <si>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</si>
  <si>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</si>
  <si>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</si>
  <si>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</si>
  <si>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</si>
  <si>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</si>
  <si>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</si>
  <si>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</si>
  <si>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</si>
  <si>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</si>
  <si>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</si>
  <si>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</si>
  <si>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</si>
  <si>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</si>
  <si>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</si>
  <si>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</si>
  <si>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</si>
  <si>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Increase (reduction) in units distributed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</si>
  <si>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</si>
  <si>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</si>
  <si>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</si>
  <si>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</si>
  <si>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</si>
  <si>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</si>
  <si>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</si>
  <si>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</si>
  <si>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</si>
  <si>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</si>
  <si>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</si>
  <si>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</si>
  <si>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</si>
  <si>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</si>
  <si>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</si>
  <si>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</si>
  <si>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</si>
  <si>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</si>
  <si>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</si>
  <si>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</si>
  <si>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Total OHL expenditure (£m)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</si>
  <si>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</si>
  <si>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</si>
  <si>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</si>
  <si>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</si>
  <si>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</si>
  <si>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</si>
  <si>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</si>
  <si>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</si>
  <si>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</si>
  <si>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</si>
  <si>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</si>
  <si>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</si>
  <si>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</si>
  <si>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</si>
  <si>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</si>
  <si>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</si>
  <si>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</si>
  <si>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</si>
  <si>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</si>
  <si>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</si>
  <si>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</si>
  <si>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</si>
  <si>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</si>
  <si>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</si>
  <si>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</si>
  <si>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</si>
  <si>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</si>
  <si>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</si>
  <si>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</si>
  <si>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</si>
  <si>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</si>
  <si>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</si>
  <si>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</si>
  <si>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</si>
  <si>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</si>
  <si>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</si>
  <si>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</si>
  <si>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</si>
  <si>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</si>
  <si>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</si>
  <si>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</si>
  <si>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</si>
  <si>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</si>
  <si>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</si>
  <si>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</si>
  <si>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</si>
  <si>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</si>
  <si>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Total cost of project in DPCR5 period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</si>
  <si>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</si>
  <si>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</si>
  <si>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</si>
  <si>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</si>
  <si>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</si>
  <si>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</si>
  <si>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</si>
  <si>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</si>
  <si>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</si>
  <si>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</si>
  <si>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</si>
  <si>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</si>
  <si>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</si>
  <si>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</si>
  <si>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</si>
  <si>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</si>
  <si>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</si>
  <si>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</si>
  <si>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</si>
  <si>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</si>
  <si>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</si>
  <si>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</si>
  <si>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 xml:space="preserve">Direct Cost Reallocation </t>
  </si>
  <si>
    <t>Total Costs including Reallocations</t>
  </si>
  <si>
    <t>Pension administration costs (reported in HR &amp; Non-op training)</t>
  </si>
  <si>
    <t>20 kV Switchgear - Other (PM)</t>
  </si>
  <si>
    <t>Net (gross directs - customer contributions directs)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</si>
  <si>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</si>
  <si>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</si>
  <si>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</si>
  <si>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</si>
  <si>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</si>
  <si>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</si>
  <si>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</si>
  <si>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</si>
  <si>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</si>
  <si>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</si>
  <si>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</si>
  <si>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</si>
  <si>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</si>
  <si>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</si>
  <si>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</si>
  <si>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</si>
  <si>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</si>
  <si>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</si>
  <si>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</si>
  <si>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</si>
  <si>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</si>
  <si>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</si>
  <si>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</si>
  <si>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</si>
  <si>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</si>
  <si>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</si>
  <si>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</si>
  <si>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</si>
  <si>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</si>
  <si>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</si>
  <si>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</si>
  <si>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</si>
  <si>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</si>
  <si>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</si>
  <si>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</si>
  <si>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Customer contributions (directs) for connections at HV</t>
  </si>
  <si>
    <t>Underground cables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</si>
  <si>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</si>
  <si>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</si>
  <si>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</si>
  <si>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</si>
  <si>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</si>
  <si>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</si>
  <si>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</si>
  <si>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</si>
  <si>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</si>
  <si>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</si>
  <si>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</si>
  <si>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</si>
  <si>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</si>
  <si>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</si>
  <si>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Customer contributions (directs) for connections at EHV</t>
  </si>
  <si>
    <t>Total Non-load related expenditure (direct costs)</t>
  </si>
  <si>
    <t>Inspection and Maintenance</t>
  </si>
  <si>
    <t xml:space="preserve">Inspections </t>
  </si>
  <si>
    <t>Cost</t>
  </si>
  <si>
    <t>Depn.</t>
  </si>
  <si>
    <t>EHV - Pole line</t>
  </si>
  <si>
    <t>EHV - Tower line</t>
  </si>
  <si>
    <t>Fittings only</t>
  </si>
  <si>
    <t>Reconductoring</t>
  </si>
  <si>
    <t>Tower Refurbishment</t>
  </si>
  <si>
    <t>EHV Total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</si>
  <si>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</si>
  <si>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</si>
  <si>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</si>
  <si>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</si>
  <si>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</si>
  <si>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</si>
  <si>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</si>
  <si>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</si>
  <si>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</si>
  <si>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</si>
  <si>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</si>
  <si>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</si>
  <si>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</si>
  <si>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</si>
  <si>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LV Support</t>
  </si>
  <si>
    <t>Fault costs allocated to Opex and Capex</t>
  </si>
  <si>
    <t>Fault opex</t>
  </si>
  <si>
    <t>Fault capex</t>
  </si>
  <si>
    <t>Total Fault Costs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</si>
  <si>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</si>
  <si>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</si>
  <si>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</si>
  <si>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</si>
  <si>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</si>
  <si>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</si>
  <si>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</si>
  <si>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</si>
  <si>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</si>
  <si>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</si>
  <si>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</si>
  <si>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</si>
  <si>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</si>
  <si>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</si>
  <si>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</si>
  <si>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</si>
  <si>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</si>
  <si>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</si>
  <si>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</si>
  <si>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</si>
  <si>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</si>
  <si>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</si>
  <si>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</si>
  <si>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</si>
  <si>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</si>
  <si>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</si>
  <si>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</si>
  <si>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</si>
  <si>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</si>
  <si>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</si>
  <si>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</si>
  <si>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</si>
  <si>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</si>
  <si>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</si>
  <si>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</si>
  <si>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</si>
  <si>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</si>
  <si>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</si>
  <si>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</si>
  <si>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</si>
  <si>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</si>
  <si>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</si>
  <si>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Non Relevant Distributed Generation</t>
  </si>
  <si>
    <t>132kV System</t>
  </si>
  <si>
    <t>Total Direct Costs excluding Reallocations</t>
  </si>
  <si>
    <t>EHV pole mounted</t>
  </si>
  <si>
    <t>HV ground mounted</t>
  </si>
  <si>
    <t>HV pole mounted</t>
  </si>
  <si>
    <t>Customer Contributions (-ve)</t>
  </si>
  <si>
    <t>Total Costs less Capital Contributions</t>
  </si>
  <si>
    <t>Non-operational assets (-ve)</t>
  </si>
  <si>
    <t>Road Occupation &amp; Permit Scheme Costs included within Lane Rentals, previously agreed in writing with Ofgem to be treated as logged up costs: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</si>
  <si>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</si>
  <si>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</si>
  <si>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</si>
  <si>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</si>
  <si>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</si>
  <si>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>132 kV Switchgear (other)</t>
  </si>
  <si>
    <t>132 kV Transformer</t>
  </si>
  <si>
    <t>Total number of demand connections</t>
  </si>
  <si>
    <t>132 kV/EHV RTU (GM)</t>
  </si>
  <si>
    <t>Secondary substation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</si>
  <si>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</si>
  <si>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</si>
  <si>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</si>
  <si>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</si>
  <si>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</si>
  <si>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</si>
  <si>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</si>
  <si>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</si>
  <si>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</si>
  <si>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</si>
  <si>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</si>
  <si>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</si>
  <si>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Environment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</si>
  <si>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</si>
  <si>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</si>
  <si>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</si>
  <si>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</si>
  <si>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</si>
  <si>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</si>
  <si>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</si>
  <si>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</si>
  <si>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</si>
  <si>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</si>
  <si>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</si>
  <si>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</si>
  <si>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</si>
  <si>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Underground mains</t>
  </si>
  <si>
    <t>Take these data from the February 2005 Ofgem document (link below), not the November 2004 final proposals.</t>
  </si>
  <si>
    <t>Ex-gratia compensation payments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</si>
  <si>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</si>
  <si>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</si>
  <si>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</si>
  <si>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</si>
  <si>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</si>
  <si>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</si>
  <si>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</si>
  <si>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</si>
  <si>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</si>
  <si>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</si>
  <si>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</si>
  <si>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</si>
  <si>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</si>
  <si>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</si>
  <si>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Inspections &amp; Maintenance</t>
  </si>
  <si>
    <t>Fault Costs</t>
  </si>
  <si>
    <t>Cash typicals</t>
  </si>
  <si>
    <t>Atypicals</t>
  </si>
  <si>
    <t>Sliding scale additional income</t>
  </si>
  <si>
    <t>ANALYSIS OF ASSET DISPOSALS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</si>
  <si>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</si>
  <si>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</si>
  <si>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</si>
  <si>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</si>
  <si>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</si>
  <si>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</si>
  <si>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</si>
  <si>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</si>
  <si>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</si>
  <si>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</si>
  <si>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</si>
  <si>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</si>
  <si>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Underground Mains - Non Consac</t>
  </si>
  <si>
    <t xml:space="preserve">HV </t>
  </si>
  <si>
    <t>Substation electricity</t>
  </si>
  <si>
    <t>LR4 - General reinforcement</t>
  </si>
  <si>
    <t>General reinforcement expenditure</t>
  </si>
  <si>
    <t>General reinforcement:</t>
  </si>
  <si>
    <t>Each</t>
  </si>
  <si>
    <t>Overhead lines - Support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</si>
  <si>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</si>
  <si>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</si>
  <si>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</si>
  <si>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</si>
  <si>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</si>
  <si>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</si>
  <si>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</si>
  <si>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</si>
  <si>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</si>
  <si>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</si>
  <si>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</si>
  <si>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</si>
  <si>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</si>
  <si>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</si>
  <si>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</si>
  <si>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</si>
  <si>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</si>
  <si>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</si>
  <si>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</si>
  <si>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</si>
  <si>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</si>
  <si>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</si>
  <si>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</si>
  <si>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</si>
  <si>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</si>
  <si>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</si>
  <si>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</si>
  <si>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</si>
  <si>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</si>
  <si>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</si>
  <si>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</si>
  <si>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</si>
  <si>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</si>
  <si>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</si>
  <si>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</si>
  <si>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</si>
  <si>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</si>
  <si>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</si>
  <si>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</si>
  <si>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</si>
  <si>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</si>
  <si>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</si>
  <si>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</si>
  <si>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New Connections (carried out by Third Parties)</t>
  </si>
  <si>
    <t>Customer Specific Reinforcement - Chargeable</t>
  </si>
  <si>
    <t>EHV ground mounted</t>
  </si>
  <si>
    <t>Regulatory Reporting Pack</t>
  </si>
  <si>
    <t>MISCELLANEOUS</t>
  </si>
  <si>
    <t>Costs outside scope of DPCR4 allowances</t>
  </si>
  <si>
    <t>Classification</t>
  </si>
  <si>
    <t>All</t>
  </si>
  <si>
    <t>All EHV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</si>
  <si>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</si>
  <si>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</si>
  <si>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</si>
  <si>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</si>
  <si>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Salary sacrifice schemes (including flexible benefit schemes)</t>
  </si>
  <si>
    <t>Direct capex</t>
  </si>
  <si>
    <t>Direct opex, faults &amp; Non-op capex</t>
  </si>
  <si>
    <t>Indirect costs</t>
  </si>
  <si>
    <t xml:space="preserve">          Non-load related replacement (Condition based)</t>
  </si>
  <si>
    <t>Non-fault Related</t>
  </si>
  <si>
    <t>Estimated number demand connections/disconnections at 132kV</t>
  </si>
  <si>
    <t>Underground</t>
  </si>
  <si>
    <t>Un-metered LV Services</t>
  </si>
  <si>
    <t>Road occupation costs</t>
  </si>
  <si>
    <t>Permit scheme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</si>
  <si>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</si>
  <si>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</si>
  <si>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</si>
  <si>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</si>
  <si>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</si>
  <si>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</si>
  <si>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</si>
  <si>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</si>
  <si>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</si>
  <si>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</si>
  <si>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</si>
  <si>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</si>
  <si>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</si>
  <si>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</si>
  <si>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</si>
  <si>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</si>
  <si>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</si>
  <si>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</si>
  <si>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</si>
  <si>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</si>
  <si>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</si>
  <si>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</si>
  <si>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</si>
  <si>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</si>
  <si>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</si>
  <si>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</si>
  <si>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Less transmission exit charges ?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</si>
  <si>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</si>
  <si>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</si>
  <si>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</si>
  <si>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</si>
  <si>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</si>
  <si>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</si>
  <si>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</si>
  <si>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</si>
  <si>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</si>
  <si>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</si>
  <si>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</si>
  <si>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</si>
  <si>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</si>
  <si>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</si>
  <si>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</si>
  <si>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</si>
  <si>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</si>
  <si>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</si>
  <si>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</si>
  <si>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</si>
  <si>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</si>
  <si>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</si>
  <si>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</si>
  <si>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</si>
  <si>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</si>
  <si>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</si>
  <si>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</si>
  <si>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</si>
  <si>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Options</t>
  </si>
  <si>
    <t>DCP071</t>
  </si>
  <si>
    <t>LV demand end user</t>
  </si>
  <si>
    <t>LV Sub demand or LV generation end user</t>
  </si>
  <si>
    <t>HV demand or LV Sub generation end user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</si>
  <si>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</si>
  <si>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</si>
  <si>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</si>
  <si>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</si>
  <si>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</si>
  <si>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</si>
  <si>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</si>
  <si>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</si>
  <si>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</si>
  <si>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</si>
  <si>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</si>
  <si>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</si>
  <si>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</si>
  <si>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</si>
  <si>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</si>
  <si>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</si>
  <si>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</si>
  <si>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</si>
  <si>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</si>
  <si>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</si>
  <si>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</si>
  <si>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</si>
  <si>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</si>
  <si>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</si>
  <si>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EHV/HV</t>
  </si>
  <si>
    <t>132kV/EHV</t>
  </si>
  <si>
    <t>Weighted by units flowing</t>
  </si>
  <si>
    <t>Network length split</t>
  </si>
  <si>
    <t>Discount matrix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</si>
  <si>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</si>
  <si>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</si>
  <si>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</si>
  <si>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</si>
  <si>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</si>
  <si>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</si>
  <si>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</si>
  <si>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Operating costs (excluding pensions)</t>
  </si>
  <si>
    <t>Capital expenditure (excluding pensions)</t>
  </si>
  <si>
    <t>Pensions allowance</t>
  </si>
  <si>
    <t>Capex incentive scheme</t>
  </si>
  <si>
    <t>Index</t>
  </si>
  <si>
    <t>PB power numbers, if available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</si>
  <si>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</si>
  <si>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</si>
  <si>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</si>
  <si>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</si>
  <si>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</si>
  <si>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</si>
  <si>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</si>
  <si>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Discounts</t>
  </si>
  <si>
    <t>Boundary category</t>
  </si>
  <si>
    <t>HV generation end user</t>
  </si>
  <si>
    <t>Boundary 0000</t>
  </si>
  <si>
    <t>Not used</t>
  </si>
  <si>
    <t>Network levels provided or bypassed by the DNO</t>
  </si>
  <si>
    <t>Network levels bypassed by the DNO</t>
  </si>
  <si>
    <t>Boundary 132kV</t>
  </si>
  <si>
    <t>Boundary 132kV/EHV</t>
  </si>
  <si>
    <t>Boundary EHV</t>
  </si>
  <si>
    <t>Boundary HVplus</t>
  </si>
  <si>
    <t>Input data reconciliation check</t>
  </si>
  <si>
    <t>Compare results to current CDCM Method M with DCP096</t>
  </si>
  <si>
    <t>No discount</t>
  </si>
  <si>
    <t>LDNO LV: LV user</t>
  </si>
  <si>
    <t>LDNO HV: LV user</t>
  </si>
  <si>
    <t>LDNO HV: LV sub user</t>
  </si>
  <si>
    <t>LDNO HV: HV user</t>
  </si>
  <si>
    <t>LDNO discount using data in this model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</si>
</sst>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);[Red]\(#,##0\);\-"/>
    <numFmt numFmtId="191" formatCode="#,##0.000;[Red]\-#,##0.000;"/>
    <numFmt numFmtId="192" formatCode="#,##0.000;[Red]\-#,##0.000;\-"/>
    <numFmt numFmtId="193" formatCode="_(* #,##0_);_(* \(#,##0\);_(* &quot;-&quot;??_);_(@_)"/>
    <numFmt numFmtId="194" formatCode="#,##0.00;[Red]\-#,##0.00;\-"/>
    <numFmt numFmtId="195" formatCode="#,##0.0;[Red]\-#,##0.0;\-"/>
    <numFmt numFmtId="196" formatCode="#,##0;[Red]\-#,##0;\-"/>
    <numFmt numFmtId="197" formatCode="_-* #,##0.000_-;\-* #,##0.000_-;_-* &quot;-&quot;??_-;_-@_-"/>
    <numFmt numFmtId="198" formatCode="0.000000000"/>
    <numFmt numFmtId="199" formatCode="0.0000000000"/>
    <numFmt numFmtId="200" formatCode="0.00000000"/>
    <numFmt numFmtId="201" formatCode="0.0000000"/>
    <numFmt numFmtId="202" formatCode="#,##0.0_);[Red]\(#,##0.0\);\-"/>
    <numFmt numFmtId="203" formatCode="0.000%"/>
    <numFmt numFmtId="204" formatCode="0.0000%"/>
    <numFmt numFmtId="205" formatCode="0.00000%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0000%"/>
    <numFmt numFmtId="211" formatCode="_-* #,##0_-;\-* #,##0_-;_-* &quot;-&quot;??_-;_-@_-"/>
    <numFmt numFmtId="212" formatCode="_-&quot;£&quot;* #,##0_-;\-&quot;£&quot;* #,##0_-;_-&quot;£&quot;* &quot;-&quot;??_-;_-@_-"/>
    <numFmt numFmtId="213" formatCode="#,##0.00_ ;\-#,##0.00\ "/>
    <numFmt numFmtId="214" formatCode="&quot;£&quot;#,##0.00"/>
    <numFmt numFmtId="215" formatCode="&quot;£&quot;#,##0"/>
    <numFmt numFmtId="216" formatCode="_-* #,##0.0000_-;\-* #,##0.0000_-;_-* &quot;-&quot;??_-;_-@_-"/>
    <numFmt numFmtId="217" formatCode="#,##0.000000_ ;\-#,##0.000000\ "/>
    <numFmt numFmtId="218" formatCode="0;\(0\)"/>
    <numFmt numFmtId="219" formatCode="0;[Red]\(0\);\-"/>
    <numFmt numFmtId="220" formatCode="_(* #,##0.0_);_(* \(#,##0.0\);_(* &quot;-&quot;?_);_(@_)"/>
    <numFmt numFmtId="221" formatCode="0.000;\-0.000;"/>
    <numFmt numFmtId="222" formatCode="_(??0.0%_);[Red]\(??0.0%\);"/>
    <numFmt numFmtId="223" formatCode="??0.0%"/>
    <numFmt numFmtId="224" formatCode="??0.0%;[Red]\(??0.0%\);"/>
    <numFmt numFmtId="225" formatCode="\ _(??0.0%_);[Red]\ \(??0.0%\);"/>
  </numFmts>
  <fonts count="73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22"/>
      </patternFill>
    </fill>
    <fill>
      <patternFill patternType="solid">
        <fgColor indexed="63"/>
        <bgColor indexed="64"/>
      </patternFill>
    </fill>
    <fill>
      <patternFill patternType="lightGrid">
        <fgColor indexed="46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7" fillId="23" borderId="0" applyNumberFormat="0" applyBorder="0" applyAlignment="0" applyProtection="0"/>
    <xf numFmtId="0" fontId="63" fillId="24" borderId="1" applyNumberFormat="0" applyAlignment="0" applyProtection="0"/>
    <xf numFmtId="0" fontId="6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27" borderId="1" applyNumberFormat="0" applyAlignment="0" applyProtection="0"/>
    <xf numFmtId="0" fontId="68" fillId="0" borderId="6" applyNumberFormat="0" applyFill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0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6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9" fontId="7" fillId="0" borderId="0" xfId="0" applyNumberFormat="1" applyFont="1" applyFill="1" applyBorder="1" applyAlignment="1" applyProtection="1">
      <alignment horizontal="center" vertical="center"/>
      <protection/>
    </xf>
    <xf numFmtId="189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90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84" fontId="11" fillId="0" borderId="16" xfId="71" applyNumberFormat="1" applyFont="1" applyBorder="1" applyAlignment="1" applyProtection="1">
      <alignment horizontal="center" vertical="center" wrapText="1"/>
      <protection/>
    </xf>
    <xf numFmtId="189" fontId="11" fillId="0" borderId="0" xfId="68" applyNumberFormat="1" applyFont="1" applyBorder="1" applyAlignment="1" applyProtection="1">
      <alignment horizontal="center" vertical="center" wrapText="1"/>
      <protection/>
    </xf>
    <xf numFmtId="189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0" xfId="0" applyNumberForma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84" fontId="11" fillId="0" borderId="16" xfId="71" applyNumberFormat="1" applyFont="1" applyFill="1" applyBorder="1" applyAlignment="1" applyProtection="1">
      <alignment horizontal="center" vertical="center" wrapText="1"/>
      <protection/>
    </xf>
    <xf numFmtId="189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84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9" fontId="24" fillId="0" borderId="0" xfId="68" applyNumberFormat="1" applyFont="1" applyFill="1" applyBorder="1" applyAlignment="1" applyProtection="1">
      <alignment horizontal="left" vertical="center" wrapText="1"/>
      <protection/>
    </xf>
    <xf numFmtId="184" fontId="24" fillId="0" borderId="0" xfId="71" applyNumberFormat="1" applyFont="1" applyFill="1" applyBorder="1" applyAlignment="1" applyProtection="1">
      <alignment horizontal="center" vertical="center" wrapText="1"/>
      <protection/>
    </xf>
    <xf numFmtId="189" fontId="24" fillId="0" borderId="0" xfId="68" applyNumberFormat="1" applyFont="1" applyFill="1" applyBorder="1" applyAlignment="1" applyProtection="1">
      <alignment horizontal="center" vertical="center" wrapText="1"/>
      <protection/>
    </xf>
    <xf numFmtId="189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Border="1" applyAlignment="1" applyProtection="1">
      <alignment horizontal="left" vertical="center" wrapText="1"/>
      <protection/>
    </xf>
    <xf numFmtId="189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9" fontId="11" fillId="0" borderId="11" xfId="68" applyNumberFormat="1" applyFont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 applyProtection="1">
      <alignment horizontal="center" vertical="center" wrapText="1"/>
      <protection/>
    </xf>
    <xf numFmtId="189" fontId="11" fillId="0" borderId="11" xfId="68" applyNumberFormat="1" applyFont="1" applyFill="1" applyBorder="1" applyAlignment="1" applyProtection="1">
      <alignment horizontal="center" vertical="center" wrapText="1"/>
      <protection/>
    </xf>
    <xf numFmtId="189" fontId="11" fillId="0" borderId="10" xfId="68" applyNumberFormat="1" applyFont="1" applyBorder="1" applyAlignment="1">
      <alignment horizontal="center" vertical="center" wrapText="1"/>
      <protection/>
    </xf>
    <xf numFmtId="189" fontId="11" fillId="0" borderId="11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>
      <alignment horizontal="center" vertical="center" wrapText="1"/>
      <protection/>
    </xf>
    <xf numFmtId="189" fontId="12" fillId="0" borderId="13" xfId="68" applyNumberFormat="1" applyFont="1" applyBorder="1" applyAlignment="1">
      <alignment horizontal="center" vertical="center" wrapText="1"/>
      <protection/>
    </xf>
    <xf numFmtId="189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9" fontId="11" fillId="0" borderId="0" xfId="68" applyNumberFormat="1" applyFont="1" applyBorder="1" applyAlignment="1">
      <alignment horizontal="center" vertical="center" wrapText="1"/>
      <protection/>
    </xf>
    <xf numFmtId="189" fontId="11" fillId="0" borderId="12" xfId="68" applyNumberFormat="1" applyFont="1" applyBorder="1" applyAlignment="1" applyProtection="1">
      <alignment horizontal="center" vertical="center" wrapText="1"/>
      <protection/>
    </xf>
    <xf numFmtId="189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9" fontId="0" fillId="0" borderId="10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2" xfId="0" applyNumberFormat="1" applyBorder="1" applyAlignment="1">
      <alignment/>
    </xf>
    <xf numFmtId="189" fontId="11" fillId="0" borderId="12" xfId="68" applyNumberFormat="1" applyFont="1" applyFill="1" applyBorder="1" applyAlignment="1" applyProtection="1">
      <alignment horizontal="center" vertical="center" wrapText="1"/>
      <protection/>
    </xf>
    <xf numFmtId="189" fontId="0" fillId="0" borderId="15" xfId="0" applyNumberFormat="1" applyBorder="1" applyAlignment="1">
      <alignment/>
    </xf>
    <xf numFmtId="189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9" fontId="12" fillId="0" borderId="0" xfId="68" applyNumberFormat="1" applyFont="1" applyBorder="1" applyAlignment="1">
      <alignment horizontal="center" vertical="center" wrapText="1"/>
      <protection/>
    </xf>
    <xf numFmtId="9" fontId="11" fillId="0" borderId="0" xfId="71" applyFont="1" applyBorder="1" applyAlignment="1" applyProtection="1">
      <alignment horizontal="center" vertical="center" wrapText="1"/>
      <protection/>
    </xf>
    <xf numFmtId="9" fontId="2" fillId="0" borderId="0" xfId="71" applyFont="1" applyBorder="1" applyAlignment="1">
      <alignment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9" fontId="0" fillId="0" borderId="24" xfId="0" applyNumberFormat="1" applyBorder="1" applyAlignment="1">
      <alignment/>
    </xf>
    <xf numFmtId="189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91" fontId="2" fillId="33" borderId="0" xfId="0" applyNumberFormat="1" applyFont="1" applyFill="1" applyAlignment="1">
      <alignment vertical="center" wrapText="1"/>
    </xf>
    <xf numFmtId="192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92" fontId="0" fillId="35" borderId="0" xfId="0" applyNumberFormat="1" applyFill="1" applyAlignment="1">
      <alignment/>
    </xf>
    <xf numFmtId="19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6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9" fontId="12" fillId="0" borderId="24" xfId="68" applyNumberFormat="1" applyFont="1" applyBorder="1" applyAlignment="1">
      <alignment horizontal="center" vertical="center" wrapText="1"/>
      <protection/>
    </xf>
    <xf numFmtId="189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9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9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9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9" fontId="0" fillId="4" borderId="0" xfId="0" applyNumberFormat="1" applyFont="1" applyFill="1" applyAlignment="1">
      <alignment/>
    </xf>
    <xf numFmtId="184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7" fontId="0" fillId="4" borderId="0" xfId="0" applyNumberFormat="1" applyFont="1" applyFill="1" applyAlignment="1">
      <alignment/>
    </xf>
    <xf numFmtId="189" fontId="0" fillId="36" borderId="26" xfId="0" applyNumberFormat="1" applyFill="1" applyBorder="1" applyAlignment="1">
      <alignment/>
    </xf>
    <xf numFmtId="189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8" fontId="0" fillId="4" borderId="0" xfId="0" applyNumberFormat="1" applyFont="1" applyFill="1" applyAlignment="1">
      <alignment/>
    </xf>
    <xf numFmtId="189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9" fontId="0" fillId="36" borderId="16" xfId="0" applyNumberFormat="1" applyFill="1" applyBorder="1" applyAlignment="1">
      <alignment horizontal="center"/>
    </xf>
    <xf numFmtId="189" fontId="0" fillId="36" borderId="0" xfId="0" applyNumberFormat="1" applyFill="1" applyBorder="1" applyAlignment="1">
      <alignment horizontal="center"/>
    </xf>
    <xf numFmtId="189" fontId="0" fillId="36" borderId="20" xfId="0" applyNumberFormat="1" applyFill="1" applyBorder="1" applyAlignment="1">
      <alignment horizontal="center"/>
    </xf>
    <xf numFmtId="197" fontId="0" fillId="36" borderId="16" xfId="42" applyNumberFormat="1" applyFont="1" applyFill="1" applyBorder="1" applyAlignment="1">
      <alignment/>
    </xf>
    <xf numFmtId="197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7" fontId="0" fillId="36" borderId="16" xfId="71" applyNumberFormat="1" applyFont="1" applyFill="1" applyBorder="1" applyAlignment="1">
      <alignment/>
    </xf>
    <xf numFmtId="197" fontId="0" fillId="36" borderId="0" xfId="71" applyNumberFormat="1" applyFont="1" applyFill="1" applyBorder="1" applyAlignment="1">
      <alignment/>
    </xf>
    <xf numFmtId="197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27" xfId="71" applyFont="1" applyFill="1" applyBorder="1" applyAlignment="1">
      <alignment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9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9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88" fontId="0" fillId="0" borderId="11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84" fontId="11" fillId="0" borderId="17" xfId="71" applyNumberFormat="1" applyFont="1" applyBorder="1" applyAlignment="1" applyProtection="1">
      <alignment horizontal="center" vertical="center" wrapText="1"/>
      <protection/>
    </xf>
    <xf numFmtId="189" fontId="11" fillId="0" borderId="27" xfId="68" applyNumberFormat="1" applyFont="1" applyBorder="1" applyAlignment="1" applyProtection="1">
      <alignment horizontal="center" vertical="center" wrapText="1"/>
      <protection/>
    </xf>
    <xf numFmtId="189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2" fillId="8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205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9" fontId="2" fillId="0" borderId="19" xfId="0" applyNumberFormat="1" applyFont="1" applyFill="1" applyBorder="1" applyAlignment="1">
      <alignment/>
    </xf>
    <xf numFmtId="18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9" fontId="2" fillId="0" borderId="20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8" fontId="0" fillId="0" borderId="15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84" fontId="11" fillId="0" borderId="15" xfId="71" applyNumberFormat="1" applyFont="1" applyFill="1" applyBorder="1" applyAlignment="1" applyProtection="1">
      <alignment horizontal="center" vertical="center" wrapText="1"/>
      <protection/>
    </xf>
    <xf numFmtId="184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84" fontId="2" fillId="0" borderId="18" xfId="0" applyNumberFormat="1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/>
    </xf>
    <xf numFmtId="184" fontId="0" fillId="0" borderId="24" xfId="0" applyNumberFormat="1" applyBorder="1" applyAlignment="1">
      <alignment horizontal="center"/>
    </xf>
    <xf numFmtId="184" fontId="0" fillId="0" borderId="16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84" fontId="2" fillId="0" borderId="15" xfId="0" applyNumberFormat="1" applyFont="1" applyBorder="1" applyAlignment="1">
      <alignment horizontal="center"/>
    </xf>
    <xf numFmtId="184" fontId="2" fillId="0" borderId="24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9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9" fontId="26" fillId="37" borderId="0" xfId="0" applyNumberFormat="1" applyFont="1" applyFill="1" applyAlignment="1">
      <alignment/>
    </xf>
    <xf numFmtId="205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9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84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61" applyProtection="1">
      <alignment/>
      <protection/>
    </xf>
    <xf numFmtId="189" fontId="0" fillId="37" borderId="33" xfId="61" applyNumberFormat="1" applyFill="1" applyBorder="1" applyAlignment="1" applyProtection="1">
      <alignment horizontal="center" vertical="center"/>
      <protection/>
    </xf>
    <xf numFmtId="189" fontId="0" fillId="37" borderId="13" xfId="61" applyNumberFormat="1" applyFill="1" applyBorder="1" applyAlignment="1" applyProtection="1">
      <alignment horizontal="center" vertical="center"/>
      <protection/>
    </xf>
    <xf numFmtId="189" fontId="0" fillId="37" borderId="34" xfId="61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84" fontId="0" fillId="37" borderId="34" xfId="71" applyNumberFormat="1" applyFont="1" applyFill="1" applyBorder="1" applyAlignment="1" applyProtection="1">
      <alignment horizontal="center" vertical="center"/>
      <protection/>
    </xf>
    <xf numFmtId="189" fontId="2" fillId="37" borderId="33" xfId="61" applyNumberFormat="1" applyFont="1" applyFill="1" applyBorder="1" applyAlignment="1" applyProtection="1">
      <alignment horizontal="center" vertical="center"/>
      <protection/>
    </xf>
    <xf numFmtId="189" fontId="2" fillId="37" borderId="13" xfId="61" applyNumberFormat="1" applyFont="1" applyFill="1" applyBorder="1" applyAlignment="1" applyProtection="1">
      <alignment horizontal="center" vertical="center"/>
      <protection/>
    </xf>
    <xf numFmtId="189" fontId="2" fillId="37" borderId="34" xfId="61" applyNumberFormat="1" applyFont="1" applyFill="1" applyBorder="1" applyAlignment="1" applyProtection="1">
      <alignment horizontal="center" vertical="center"/>
      <protection/>
    </xf>
    <xf numFmtId="189" fontId="2" fillId="37" borderId="14" xfId="61" applyNumberFormat="1" applyFont="1" applyFill="1" applyBorder="1" applyAlignment="1" applyProtection="1">
      <alignment horizontal="center" vertical="center"/>
      <protection/>
    </xf>
    <xf numFmtId="189" fontId="2" fillId="37" borderId="35" xfId="61" applyNumberFormat="1" applyFont="1" applyFill="1" applyBorder="1" applyAlignment="1" applyProtection="1">
      <alignment horizontal="center" vertical="center"/>
      <protection/>
    </xf>
    <xf numFmtId="189" fontId="2" fillId="37" borderId="36" xfId="61" applyNumberFormat="1" applyFont="1" applyFill="1" applyBorder="1" applyAlignment="1" applyProtection="1">
      <alignment horizontal="center" vertical="center"/>
      <protection/>
    </xf>
    <xf numFmtId="189" fontId="2" fillId="37" borderId="37" xfId="61" applyNumberFormat="1" applyFont="1" applyFill="1" applyBorder="1" applyAlignment="1" applyProtection="1">
      <alignment horizontal="center" vertical="center"/>
      <protection/>
    </xf>
    <xf numFmtId="189" fontId="2" fillId="37" borderId="38" xfId="61" applyNumberFormat="1" applyFont="1" applyFill="1" applyBorder="1" applyAlignment="1" applyProtection="1">
      <alignment horizontal="center" vertical="center"/>
      <protection/>
    </xf>
    <xf numFmtId="189" fontId="0" fillId="37" borderId="35" xfId="61" applyNumberFormat="1" applyFill="1" applyBorder="1" applyAlignment="1" applyProtection="1">
      <alignment horizontal="center" vertical="center"/>
      <protection/>
    </xf>
    <xf numFmtId="189" fontId="0" fillId="37" borderId="36" xfId="61" applyNumberFormat="1" applyFill="1" applyBorder="1" applyAlignment="1" applyProtection="1">
      <alignment horizontal="center" vertical="center"/>
      <protection/>
    </xf>
    <xf numFmtId="189" fontId="0" fillId="37" borderId="37" xfId="61" applyNumberFormat="1" applyFill="1" applyBorder="1" applyAlignment="1" applyProtection="1">
      <alignment horizontal="center" vertical="center"/>
      <protection/>
    </xf>
    <xf numFmtId="184" fontId="0" fillId="37" borderId="37" xfId="71" applyNumberFormat="1" applyFont="1" applyFill="1" applyBorder="1" applyAlignment="1" applyProtection="1">
      <alignment horizontal="center" vertical="center"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9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40" xfId="64" applyNumberFormat="1" applyFont="1" applyBorder="1" applyAlignment="1" applyProtection="1">
      <alignment horizontal="center" wrapText="1"/>
      <protection/>
    </xf>
    <xf numFmtId="1" fontId="12" fillId="0" borderId="39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38" xfId="61" applyFont="1" applyBorder="1" applyAlignment="1" applyProtection="1">
      <alignment horizontal="center" vertical="center" wrapText="1"/>
      <protection/>
    </xf>
    <xf numFmtId="0" fontId="2" fillId="0" borderId="36" xfId="61" applyFont="1" applyBorder="1" applyAlignment="1" applyProtection="1">
      <alignment horizontal="center" vertical="center" wrapText="1"/>
      <protection/>
    </xf>
    <xf numFmtId="0" fontId="2" fillId="0" borderId="35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37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9" xfId="64" applyNumberFormat="1" applyFont="1" applyFill="1" applyBorder="1" applyAlignment="1" applyProtection="1">
      <alignment horizontal="center"/>
      <protection/>
    </xf>
    <xf numFmtId="1" fontId="11" fillId="0" borderId="45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40" xfId="64" applyNumberFormat="1" applyFont="1" applyFill="1" applyBorder="1" applyAlignment="1" applyProtection="1">
      <alignment horizontal="center"/>
      <protection/>
    </xf>
    <xf numFmtId="1" fontId="11" fillId="0" borderId="48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40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90" fontId="12" fillId="37" borderId="43" xfId="64" applyNumberFormat="1" applyFont="1" applyFill="1" applyBorder="1" applyAlignment="1" applyProtection="1">
      <alignment horizontal="center"/>
      <protection/>
    </xf>
    <xf numFmtId="190" fontId="11" fillId="0" borderId="33" xfId="64" applyNumberFormat="1" applyFont="1" applyFill="1" applyBorder="1" applyAlignment="1" applyProtection="1">
      <alignment horizontal="center"/>
      <protection/>
    </xf>
    <xf numFmtId="190" fontId="11" fillId="0" borderId="13" xfId="64" applyNumberFormat="1" applyFont="1" applyFill="1" applyBorder="1" applyAlignment="1" applyProtection="1">
      <alignment horizontal="center"/>
      <protection/>
    </xf>
    <xf numFmtId="189" fontId="29" fillId="36" borderId="43" xfId="64" applyNumberFormat="1" applyFont="1" applyFill="1" applyBorder="1" applyAlignment="1" applyProtection="1">
      <alignment horizontal="center"/>
      <protection locked="0"/>
    </xf>
    <xf numFmtId="190" fontId="11" fillId="0" borderId="18" xfId="64" applyNumberFormat="1" applyFont="1" applyFill="1" applyBorder="1" applyAlignment="1" applyProtection="1">
      <alignment horizontal="center"/>
      <protection/>
    </xf>
    <xf numFmtId="190" fontId="12" fillId="0" borderId="40" xfId="64" applyNumberFormat="1" applyFont="1" applyFill="1" applyBorder="1" applyAlignment="1" applyProtection="1">
      <alignment horizontal="center"/>
      <protection/>
    </xf>
    <xf numFmtId="190" fontId="11" fillId="0" borderId="48" xfId="64" applyNumberFormat="1" applyFont="1" applyFill="1" applyBorder="1" applyAlignment="1" applyProtection="1">
      <alignment horizontal="center"/>
      <protection/>
    </xf>
    <xf numFmtId="190" fontId="11" fillId="0" borderId="11" xfId="64" applyNumberFormat="1" applyFont="1" applyFill="1" applyBorder="1" applyAlignment="1" applyProtection="1">
      <alignment horizontal="center"/>
      <protection/>
    </xf>
    <xf numFmtId="190" fontId="11" fillId="0" borderId="16" xfId="64" applyNumberFormat="1" applyFont="1" applyFill="1" applyBorder="1" applyAlignment="1" applyProtection="1">
      <alignment horizontal="center"/>
      <protection/>
    </xf>
    <xf numFmtId="189" fontId="11" fillId="0" borderId="40" xfId="64" applyNumberFormat="1" applyFont="1" applyFill="1" applyBorder="1" applyAlignment="1" applyProtection="1">
      <alignment horizontal="center"/>
      <protection locked="0"/>
    </xf>
    <xf numFmtId="190" fontId="29" fillId="0" borderId="41" xfId="64" applyNumberFormat="1" applyFont="1" applyFill="1" applyBorder="1" applyAlignment="1" applyProtection="1">
      <alignment horizontal="center"/>
      <protection/>
    </xf>
    <xf numFmtId="190" fontId="11" fillId="0" borderId="49" xfId="64" applyNumberFormat="1" applyFont="1" applyFill="1" applyBorder="1" applyAlignment="1" applyProtection="1">
      <alignment horizontal="center"/>
      <protection/>
    </xf>
    <xf numFmtId="190" fontId="11" fillId="0" borderId="50" xfId="64" applyNumberFormat="1" applyFont="1" applyFill="1" applyBorder="1" applyAlignment="1" applyProtection="1">
      <alignment horizontal="center"/>
      <protection/>
    </xf>
    <xf numFmtId="190" fontId="11" fillId="0" borderId="51" xfId="64" applyNumberFormat="1" applyFont="1" applyFill="1" applyBorder="1" applyAlignment="1" applyProtection="1">
      <alignment horizontal="center"/>
      <protection/>
    </xf>
    <xf numFmtId="190" fontId="11" fillId="0" borderId="41" xfId="64" applyNumberFormat="1" applyFont="1" applyFill="1" applyBorder="1" applyAlignment="1" applyProtection="1">
      <alignment horizontal="center"/>
      <protection/>
    </xf>
    <xf numFmtId="189" fontId="29" fillId="0" borderId="41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90" fontId="12" fillId="0" borderId="39" xfId="64" applyNumberFormat="1" applyFont="1" applyFill="1" applyBorder="1" applyAlignment="1" applyProtection="1">
      <alignment horizontal="center"/>
      <protection/>
    </xf>
    <xf numFmtId="190" fontId="11" fillId="0" borderId="45" xfId="64" applyNumberFormat="1" applyFont="1" applyFill="1" applyBorder="1" applyAlignment="1" applyProtection="1">
      <alignment horizontal="center"/>
      <protection/>
    </xf>
    <xf numFmtId="190" fontId="11" fillId="0" borderId="46" xfId="64" applyNumberFormat="1" applyFont="1" applyFill="1" applyBorder="1" applyAlignment="1" applyProtection="1">
      <alignment horizontal="center"/>
      <protection/>
    </xf>
    <xf numFmtId="190" fontId="11" fillId="0" borderId="47" xfId="64" applyNumberFormat="1" applyFont="1" applyFill="1" applyBorder="1" applyAlignment="1" applyProtection="1">
      <alignment horizontal="center"/>
      <protection/>
    </xf>
    <xf numFmtId="189" fontId="11" fillId="0" borderId="39" xfId="64" applyNumberFormat="1" applyFont="1" applyFill="1" applyBorder="1" applyAlignment="1" applyProtection="1">
      <alignment horizontal="center"/>
      <protection locked="0"/>
    </xf>
    <xf numFmtId="189" fontId="29" fillId="0" borderId="41" xfId="64" applyNumberFormat="1" applyFont="1" applyFill="1" applyBorder="1" applyAlignment="1" applyProtection="1">
      <alignment horizontal="center"/>
      <protection/>
    </xf>
    <xf numFmtId="189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30" fillId="36" borderId="14" xfId="61" applyNumberFormat="1" applyFont="1" applyFill="1" applyBorder="1" applyAlignment="1" applyProtection="1">
      <alignment horizontal="center" vertical="center"/>
      <protection locked="0"/>
    </xf>
    <xf numFmtId="189" fontId="30" fillId="36" borderId="34" xfId="61" applyNumberFormat="1" applyFont="1" applyFill="1" applyBorder="1" applyAlignment="1" applyProtection="1">
      <alignment horizontal="center" vertical="center"/>
      <protection locked="0"/>
    </xf>
    <xf numFmtId="189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52" xfId="61" applyBorder="1" applyAlignment="1" applyProtection="1">
      <alignment horizontal="center" vertical="center"/>
      <protection/>
    </xf>
    <xf numFmtId="0" fontId="0" fillId="0" borderId="44" xfId="61" applyBorder="1" applyAlignment="1" applyProtection="1">
      <alignment horizontal="center" vertical="center"/>
      <protection/>
    </xf>
    <xf numFmtId="0" fontId="0" fillId="0" borderId="52" xfId="61" applyFill="1" applyBorder="1" applyAlignment="1" applyProtection="1">
      <alignment horizontal="center" vertical="center"/>
      <protection/>
    </xf>
    <xf numFmtId="189" fontId="30" fillId="38" borderId="33" xfId="61" applyNumberFormat="1" applyFont="1" applyFill="1" applyBorder="1" applyAlignment="1" applyProtection="1">
      <alignment horizontal="center" vertical="center"/>
      <protection/>
    </xf>
    <xf numFmtId="189" fontId="30" fillId="38" borderId="14" xfId="6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9" fontId="30" fillId="38" borderId="35" xfId="61" applyNumberFormat="1" applyFont="1" applyFill="1" applyBorder="1" applyAlignment="1" applyProtection="1">
      <alignment horizontal="center" vertical="center"/>
      <protection/>
    </xf>
    <xf numFmtId="189" fontId="30" fillId="38" borderId="38" xfId="61" applyNumberFormat="1" applyFont="1" applyFill="1" applyBorder="1" applyAlignment="1" applyProtection="1">
      <alignment horizontal="center" vertical="center"/>
      <protection/>
    </xf>
    <xf numFmtId="189" fontId="30" fillId="36" borderId="38" xfId="61" applyNumberFormat="1" applyFont="1" applyFill="1" applyBorder="1" applyAlignment="1" applyProtection="1">
      <alignment horizontal="center" vertical="center"/>
      <protection locked="0"/>
    </xf>
    <xf numFmtId="189" fontId="30" fillId="36" borderId="37" xfId="61" applyNumberFormat="1" applyFont="1" applyFill="1" applyBorder="1" applyAlignment="1" applyProtection="1">
      <alignment horizontal="center" vertical="center"/>
      <protection locked="0"/>
    </xf>
    <xf numFmtId="189" fontId="30" fillId="36" borderId="36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45" xfId="61" applyFont="1" applyBorder="1" applyProtection="1">
      <alignment/>
      <protection/>
    </xf>
    <xf numFmtId="0" fontId="0" fillId="0" borderId="53" xfId="61" applyBorder="1" applyAlignment="1" applyProtection="1">
      <alignment horizont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0" fillId="0" borderId="56" xfId="61" applyBorder="1" applyAlignment="1" applyProtection="1">
      <alignment horizontal="centerContinuous" vertical="center"/>
      <protection/>
    </xf>
    <xf numFmtId="0" fontId="0" fillId="0" borderId="55" xfId="6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0" fillId="0" borderId="60" xfId="61" applyBorder="1" applyProtection="1">
      <alignment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29" xfId="61" applyBorder="1" applyProtection="1">
      <alignment/>
      <protection/>
    </xf>
    <xf numFmtId="0" fontId="0" fillId="0" borderId="0" xfId="61" applyAlignment="1" applyProtection="1">
      <alignment horizontal="center" vertical="center"/>
      <protection/>
    </xf>
    <xf numFmtId="0" fontId="0" fillId="0" borderId="61" xfId="61" applyFill="1" applyBorder="1" applyAlignment="1" applyProtection="1">
      <alignment horizontal="center"/>
      <protection/>
    </xf>
    <xf numFmtId="0" fontId="0" fillId="0" borderId="62" xfId="61" applyFill="1" applyBorder="1" applyAlignment="1" applyProtection="1">
      <alignment horizontal="center" vertical="center"/>
      <protection/>
    </xf>
    <xf numFmtId="0" fontId="0" fillId="0" borderId="63" xfId="61" applyFill="1" applyBorder="1" applyAlignment="1" applyProtection="1">
      <alignment horizontal="center" vertical="center"/>
      <protection/>
    </xf>
    <xf numFmtId="0" fontId="0" fillId="0" borderId="61" xfId="61" applyNumberFormat="1" applyBorder="1" applyAlignment="1" applyProtection="1">
      <alignment horizontal="center"/>
      <protection/>
    </xf>
    <xf numFmtId="0" fontId="0" fillId="0" borderId="64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65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2" xfId="61" applyBorder="1" applyProtection="1">
      <alignment/>
      <protection/>
    </xf>
    <xf numFmtId="0" fontId="0" fillId="0" borderId="63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7" xfId="6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30" fillId="36" borderId="33" xfId="61" applyNumberFormat="1" applyFont="1" applyFill="1" applyBorder="1" applyAlignment="1" applyProtection="1">
      <alignment horizontal="center" vertical="center"/>
      <protection locked="0"/>
    </xf>
    <xf numFmtId="1" fontId="30" fillId="36" borderId="34" xfId="61" applyNumberFormat="1" applyFont="1" applyFill="1" applyBorder="1" applyAlignment="1" applyProtection="1">
      <alignment horizontal="center" vertical="center"/>
      <protection locked="0"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66" xfId="61" applyNumberFormat="1" applyFont="1" applyFill="1" applyBorder="1" applyAlignment="1" applyProtection="1">
      <alignment horizontal="center" vertical="center"/>
      <protection locked="0"/>
    </xf>
    <xf numFmtId="1" fontId="30" fillId="36" borderId="67" xfId="6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26" xfId="61" applyFont="1" applyBorder="1" applyProtection="1">
      <alignment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62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3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9" xfId="61" applyFont="1" applyBorder="1" applyAlignment="1" applyProtection="1">
      <alignment horizontal="left" indent="1"/>
      <protection/>
    </xf>
    <xf numFmtId="184" fontId="2" fillId="37" borderId="37" xfId="71" applyNumberFormat="1" applyFont="1" applyFill="1" applyBorder="1" applyAlignment="1" applyProtection="1">
      <alignment horizontal="center" vertical="center"/>
      <protection/>
    </xf>
    <xf numFmtId="0" fontId="0" fillId="0" borderId="61" xfId="61" applyBorder="1" applyAlignment="1" applyProtection="1">
      <alignment horizontal="center"/>
      <protection/>
    </xf>
    <xf numFmtId="189" fontId="0" fillId="37" borderId="60" xfId="61" applyNumberFormat="1" applyFill="1" applyBorder="1" applyAlignment="1" applyProtection="1">
      <alignment horizontal="center" vertical="center"/>
      <protection/>
    </xf>
    <xf numFmtId="189" fontId="0" fillId="37" borderId="68" xfId="61" applyNumberFormat="1" applyFill="1" applyBorder="1" applyAlignment="1" applyProtection="1">
      <alignment horizontal="center" vertical="center"/>
      <protection/>
    </xf>
    <xf numFmtId="0" fontId="0" fillId="0" borderId="69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8" fontId="6" fillId="8" borderId="0" xfId="42" applyNumberFormat="1" applyFont="1" applyFill="1" applyAlignment="1">
      <alignment/>
    </xf>
    <xf numFmtId="188" fontId="6" fillId="0" borderId="27" xfId="42" applyNumberFormat="1" applyFont="1" applyBorder="1" applyAlignment="1">
      <alignment/>
    </xf>
    <xf numFmtId="188" fontId="6" fillId="31" borderId="0" xfId="42" applyNumberFormat="1" applyFont="1" applyFill="1" applyBorder="1" applyAlignment="1">
      <alignment/>
    </xf>
    <xf numFmtId="188" fontId="6" fillId="0" borderId="0" xfId="42" applyNumberFormat="1" applyFont="1" applyAlignment="1">
      <alignment/>
    </xf>
    <xf numFmtId="188" fontId="6" fillId="31" borderId="25" xfId="42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6" fillId="39" borderId="0" xfId="42" applyNumberFormat="1" applyFont="1" applyFill="1" applyAlignment="1">
      <alignment/>
    </xf>
    <xf numFmtId="188" fontId="6" fillId="31" borderId="25" xfId="0" applyNumberFormat="1" applyFont="1" applyFill="1" applyBorder="1" applyAlignment="1">
      <alignment/>
    </xf>
    <xf numFmtId="188" fontId="6" fillId="8" borderId="0" xfId="0" applyNumberFormat="1" applyFont="1" applyFill="1" applyAlignment="1">
      <alignment/>
    </xf>
    <xf numFmtId="0" fontId="0" fillId="0" borderId="48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8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9" fontId="0" fillId="0" borderId="0" xfId="0" applyNumberFormat="1" applyBorder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23" fillId="0" borderId="0" xfId="0" applyNumberFormat="1" applyFont="1" applyAlignment="1" applyProtection="1">
      <alignment/>
      <protection/>
    </xf>
    <xf numFmtId="184" fontId="2" fillId="37" borderId="34" xfId="61" applyNumberFormat="1" applyFont="1" applyFill="1" applyBorder="1" applyAlignment="1" applyProtection="1">
      <alignment horizontal="center" vertical="center"/>
      <protection/>
    </xf>
    <xf numFmtId="189" fontId="0" fillId="0" borderId="26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Fill="1" applyBorder="1" applyAlignment="1" applyProtection="1">
      <alignment horizontal="center" vertical="center"/>
      <protection/>
    </xf>
    <xf numFmtId="189" fontId="0" fillId="0" borderId="31" xfId="61" applyNumberFormat="1" applyFill="1" applyBorder="1" applyAlignment="1" applyProtection="1">
      <alignment horizontal="center" vertical="center"/>
      <protection/>
    </xf>
    <xf numFmtId="189" fontId="0" fillId="0" borderId="0" xfId="61" applyNumberFormat="1" applyBorder="1" applyAlignment="1" applyProtection="1">
      <alignment horizontal="center" vertical="center"/>
      <protection/>
    </xf>
    <xf numFmtId="189" fontId="0" fillId="0" borderId="31" xfId="61" applyNumberFormat="1" applyBorder="1" applyAlignment="1" applyProtection="1">
      <alignment horizontal="center" vertical="center"/>
      <protection/>
    </xf>
    <xf numFmtId="184" fontId="0" fillId="0" borderId="31" xfId="71" applyNumberFormat="1" applyFont="1" applyBorder="1" applyAlignment="1" applyProtection="1">
      <alignment horizontal="center" vertical="center"/>
      <protection/>
    </xf>
    <xf numFmtId="0" fontId="0" fillId="0" borderId="45" xfId="61" applyBorder="1" applyProtection="1">
      <alignment/>
      <protection/>
    </xf>
    <xf numFmtId="0" fontId="2" fillId="0" borderId="70" xfId="61" applyFont="1" applyBorder="1" applyAlignment="1" applyProtection="1">
      <alignment horizontal="centerContinuous" vertical="center"/>
      <protection/>
    </xf>
    <xf numFmtId="0" fontId="0" fillId="0" borderId="57" xfId="61" applyBorder="1" applyAlignment="1" applyProtection="1">
      <alignment horizontal="centerContinuous"/>
      <protection/>
    </xf>
    <xf numFmtId="0" fontId="0" fillId="0" borderId="59" xfId="61" applyBorder="1" applyAlignment="1" applyProtection="1">
      <alignment horizontal="centerContinuous"/>
      <protection/>
    </xf>
    <xf numFmtId="0" fontId="2" fillId="0" borderId="22" xfId="61" applyFont="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33" xfId="61" applyFont="1" applyBorder="1" applyAlignment="1" applyProtection="1">
      <alignment horizontal="center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66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8" fontId="30" fillId="36" borderId="33" xfId="61" applyNumberFormat="1" applyFont="1" applyFill="1" applyBorder="1" applyAlignment="1" applyProtection="1">
      <alignment horizontal="center" vertical="center"/>
      <protection locked="0"/>
    </xf>
    <xf numFmtId="189" fontId="0" fillId="37" borderId="34" xfId="61" applyNumberFormat="1" applyFill="1" applyBorder="1" applyAlignment="1" applyProtection="1">
      <alignment horizontal="center" vertical="center"/>
      <protection locked="0"/>
    </xf>
    <xf numFmtId="188" fontId="30" fillId="36" borderId="14" xfId="61" applyNumberFormat="1" applyFont="1" applyFill="1" applyBorder="1" applyAlignment="1" applyProtection="1">
      <alignment horizontal="center" vertical="center"/>
      <protection locked="0"/>
    </xf>
    <xf numFmtId="188" fontId="30" fillId="36" borderId="34" xfId="61" applyNumberFormat="1" applyFont="1" applyFill="1" applyBorder="1" applyAlignment="1" applyProtection="1">
      <alignment horizontal="center" vertical="center"/>
      <protection locked="0"/>
    </xf>
    <xf numFmtId="188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8" fontId="30" fillId="36" borderId="66" xfId="61" applyNumberFormat="1" applyFont="1" applyFill="1" applyBorder="1" applyAlignment="1" applyProtection="1">
      <alignment horizontal="center" vertical="center"/>
      <protection locked="0"/>
    </xf>
    <xf numFmtId="189" fontId="0" fillId="37" borderId="67" xfId="61" applyNumberFormat="1" applyFill="1" applyBorder="1" applyAlignment="1" applyProtection="1">
      <alignment horizontal="center" vertical="center"/>
      <protection locked="0"/>
    </xf>
    <xf numFmtId="188" fontId="30" fillId="36" borderId="19" xfId="61" applyNumberFormat="1" applyFont="1" applyFill="1" applyBorder="1" applyAlignment="1" applyProtection="1">
      <alignment horizontal="center" vertical="center"/>
      <protection locked="0"/>
    </xf>
    <xf numFmtId="188" fontId="30" fillId="36" borderId="67" xfId="61" applyNumberFormat="1" applyFont="1" applyFill="1" applyBorder="1" applyAlignment="1" applyProtection="1">
      <alignment horizontal="center" vertical="center"/>
      <protection locked="0"/>
    </xf>
    <xf numFmtId="188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1" xfId="61" applyFill="1" applyBorder="1" applyProtection="1">
      <alignment/>
      <protection locked="0"/>
    </xf>
    <xf numFmtId="0" fontId="0" fillId="37" borderId="72" xfId="61" applyFill="1" applyBorder="1" applyAlignment="1" applyProtection="1">
      <alignment horizontal="center" vertical="center"/>
      <protection locked="0"/>
    </xf>
    <xf numFmtId="0" fontId="0" fillId="38" borderId="36" xfId="61" applyFill="1" applyBorder="1" applyAlignment="1" applyProtection="1">
      <alignment horizontal="center" vertical="center"/>
      <protection locked="0"/>
    </xf>
    <xf numFmtId="1" fontId="0" fillId="37" borderId="73" xfId="61" applyNumberFormat="1" applyFill="1" applyBorder="1" applyAlignment="1" applyProtection="1">
      <alignment horizontal="center" vertical="center"/>
      <protection locked="0"/>
    </xf>
    <xf numFmtId="189" fontId="0" fillId="37" borderId="71" xfId="61" applyNumberFormat="1" applyFill="1" applyBorder="1" applyAlignment="1" applyProtection="1">
      <alignment horizontal="center" vertical="center"/>
      <protection locked="0"/>
    </xf>
    <xf numFmtId="189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36" xfId="61" applyNumberFormat="1" applyFill="1" applyBorder="1" applyAlignment="1" applyProtection="1">
      <alignment horizontal="center" vertical="center"/>
      <protection locked="0"/>
    </xf>
    <xf numFmtId="2" fontId="0" fillId="37" borderId="73" xfId="61" applyNumberFormat="1" applyFill="1" applyBorder="1" applyAlignment="1" applyProtection="1">
      <alignment horizontal="center" vertical="center"/>
      <protection locked="0"/>
    </xf>
    <xf numFmtId="2" fontId="0" fillId="37" borderId="71" xfId="61" applyNumberFormat="1" applyFill="1" applyBorder="1" applyAlignment="1" applyProtection="1">
      <alignment horizontal="center" vertical="center"/>
      <protection locked="0"/>
    </xf>
    <xf numFmtId="2" fontId="0" fillId="37" borderId="36" xfId="0" applyNumberFormat="1" applyFill="1" applyBorder="1" applyAlignment="1" applyProtection="1">
      <alignment horizontal="center"/>
      <protection locked="0"/>
    </xf>
    <xf numFmtId="2" fontId="0" fillId="37" borderId="73" xfId="61" applyNumberFormat="1" applyFill="1" applyBorder="1" applyAlignment="1" applyProtection="1">
      <alignment horizontal="center"/>
      <protection locked="0"/>
    </xf>
    <xf numFmtId="0" fontId="0" fillId="38" borderId="71" xfId="61" applyFill="1" applyBorder="1" applyProtection="1">
      <alignment/>
      <protection locked="0"/>
    </xf>
    <xf numFmtId="0" fontId="0" fillId="38" borderId="72" xfId="61" applyFill="1" applyBorder="1" applyProtection="1">
      <alignment/>
      <protection locked="0"/>
    </xf>
    <xf numFmtId="0" fontId="0" fillId="38" borderId="73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8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33" xfId="61" applyFont="1" applyBorder="1" applyAlignment="1" applyProtection="1">
      <alignment horizontal="center" vertical="center" wrapText="1"/>
      <protection/>
    </xf>
    <xf numFmtId="0" fontId="8" fillId="0" borderId="34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62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33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34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30" fillId="36" borderId="60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8" xfId="59" applyNumberFormat="1" applyFont="1" applyFill="1" applyBorder="1" applyAlignment="1" applyProtection="1">
      <alignment horizontal="center"/>
      <protection locked="0"/>
    </xf>
    <xf numFmtId="1" fontId="30" fillId="36" borderId="33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30" fillId="36" borderId="35" xfId="59" applyNumberFormat="1" applyFont="1" applyFill="1" applyBorder="1" applyAlignment="1" applyProtection="1">
      <alignment horizontal="center"/>
      <protection locked="0"/>
    </xf>
    <xf numFmtId="1" fontId="30" fillId="36" borderId="36" xfId="59" applyNumberFormat="1" applyFont="1" applyFill="1" applyBorder="1" applyAlignment="1" applyProtection="1">
      <alignment horizontal="center"/>
      <protection locked="0"/>
    </xf>
    <xf numFmtId="1" fontId="30" fillId="36" borderId="37" xfId="59" applyNumberFormat="1" applyFont="1" applyFill="1" applyBorder="1" applyAlignment="1" applyProtection="1">
      <alignment horizontal="center"/>
      <protection locked="0"/>
    </xf>
    <xf numFmtId="0" fontId="0" fillId="0" borderId="0" xfId="59" applyFont="1" applyBorder="1" applyProtection="1">
      <alignment/>
      <protection/>
    </xf>
    <xf numFmtId="1" fontId="30" fillId="36" borderId="34" xfId="59" applyNumberFormat="1" applyFont="1" applyFill="1" applyBorder="1" applyAlignment="1" applyProtection="1">
      <alignment horizontal="center"/>
      <protection locked="0"/>
    </xf>
    <xf numFmtId="1" fontId="30" fillId="36" borderId="38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0" fillId="0" borderId="55" xfId="61" applyFont="1" applyBorder="1" applyAlignment="1" applyProtection="1">
      <alignment horizontal="centerContinuous" vertical="center"/>
      <protection/>
    </xf>
    <xf numFmtId="0" fontId="33" fillId="0" borderId="0" xfId="0" applyFont="1" applyAlignment="1" applyProtection="1">
      <alignment/>
      <protection/>
    </xf>
    <xf numFmtId="0" fontId="2" fillId="0" borderId="62" xfId="61" applyFont="1" applyBorder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189" fontId="0" fillId="37" borderId="33" xfId="61" applyNumberFormat="1" applyFont="1" applyFill="1" applyBorder="1" applyAlignment="1" applyProtection="1">
      <alignment horizontal="center" vertical="center"/>
      <protection/>
    </xf>
    <xf numFmtId="189" fontId="0" fillId="37" borderId="13" xfId="61" applyNumberFormat="1" applyFont="1" applyFill="1" applyBorder="1" applyAlignment="1" applyProtection="1">
      <alignment horizontal="center" vertical="center"/>
      <protection/>
    </xf>
    <xf numFmtId="189" fontId="0" fillId="37" borderId="34" xfId="61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4" xfId="59" applyNumberFormat="1" applyFont="1" applyBorder="1" applyAlignment="1" applyProtection="1">
      <alignment horizontal="centerContinuous"/>
      <protection/>
    </xf>
    <xf numFmtId="1" fontId="10" fillId="0" borderId="55" xfId="59" applyNumberFormat="1" applyFont="1" applyBorder="1" applyAlignment="1" applyProtection="1">
      <alignment horizontal="centerContinuous"/>
      <protection/>
    </xf>
    <xf numFmtId="1" fontId="10" fillId="0" borderId="56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33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34" xfId="67" applyFont="1" applyFill="1" applyBorder="1" applyAlignment="1" applyProtection="1">
      <alignment horizontal="center" vertical="center"/>
      <protection/>
    </xf>
    <xf numFmtId="0" fontId="36" fillId="0" borderId="62" xfId="63" applyFont="1" applyBorder="1" applyAlignment="1" applyProtection="1">
      <alignment vertical="center"/>
      <protection/>
    </xf>
    <xf numFmtId="0" fontId="37" fillId="0" borderId="63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8" xfId="63" applyFont="1" applyFill="1" applyBorder="1" applyAlignment="1" applyProtection="1">
      <alignment/>
      <protection/>
    </xf>
    <xf numFmtId="189" fontId="38" fillId="0" borderId="60" xfId="67" applyNumberFormat="1" applyFont="1" applyFill="1" applyBorder="1" applyAlignment="1" applyProtection="1">
      <alignment horizontal="center" vertical="center"/>
      <protection/>
    </xf>
    <xf numFmtId="189" fontId="38" fillId="0" borderId="12" xfId="67" applyNumberFormat="1" applyFont="1" applyFill="1" applyBorder="1" applyAlignment="1" applyProtection="1">
      <alignment horizontal="center" vertical="center"/>
      <protection/>
    </xf>
    <xf numFmtId="189" fontId="38" fillId="0" borderId="68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Fill="1" applyBorder="1" applyAlignment="1" applyProtection="1">
      <alignment/>
      <protection/>
    </xf>
    <xf numFmtId="189" fontId="38" fillId="0" borderId="33" xfId="67" applyNumberFormat="1" applyFont="1" applyFill="1" applyBorder="1" applyAlignment="1" applyProtection="1">
      <alignment horizontal="center" vertical="center"/>
      <protection/>
    </xf>
    <xf numFmtId="189" fontId="38" fillId="0" borderId="13" xfId="67" applyNumberFormat="1" applyFont="1" applyFill="1" applyBorder="1" applyAlignment="1" applyProtection="1">
      <alignment horizontal="center" vertical="center"/>
      <protection/>
    </xf>
    <xf numFmtId="189" fontId="38" fillId="0" borderId="34" xfId="67" applyNumberFormat="1" applyFont="1" applyFill="1" applyBorder="1" applyAlignment="1" applyProtection="1">
      <alignment horizontal="center" vertical="center"/>
      <protection/>
    </xf>
    <xf numFmtId="0" fontId="11" fillId="0" borderId="34" xfId="63" applyFont="1" applyBorder="1" applyAlignment="1" applyProtection="1">
      <alignment/>
      <protection/>
    </xf>
    <xf numFmtId="0" fontId="11" fillId="0" borderId="34" xfId="63" applyFont="1" applyBorder="1" applyAlignment="1" applyProtection="1">
      <alignment vertical="center"/>
      <protection/>
    </xf>
    <xf numFmtId="0" fontId="11" fillId="0" borderId="34" xfId="63" applyFont="1" applyFill="1" applyBorder="1" applyAlignment="1" applyProtection="1">
      <alignment vertical="center"/>
      <protection/>
    </xf>
    <xf numFmtId="0" fontId="10" fillId="0" borderId="71" xfId="63" applyFont="1" applyBorder="1" applyAlignment="1" applyProtection="1">
      <alignment/>
      <protection/>
    </xf>
    <xf numFmtId="0" fontId="10" fillId="0" borderId="73" xfId="63" applyFont="1" applyBorder="1" applyAlignment="1" applyProtection="1">
      <alignment/>
      <protection/>
    </xf>
    <xf numFmtId="189" fontId="39" fillId="37" borderId="35" xfId="67" applyNumberFormat="1" applyFont="1" applyFill="1" applyBorder="1" applyAlignment="1" applyProtection="1">
      <alignment horizontal="center" vertical="center"/>
      <protection/>
    </xf>
    <xf numFmtId="189" fontId="39" fillId="37" borderId="36" xfId="67" applyNumberFormat="1" applyFont="1" applyFill="1" applyBorder="1" applyAlignment="1" applyProtection="1">
      <alignment horizontal="center" vertical="center"/>
      <protection/>
    </xf>
    <xf numFmtId="189" fontId="39" fillId="37" borderId="37" xfId="67" applyNumberFormat="1" applyFont="1" applyFill="1" applyBorder="1" applyAlignment="1" applyProtection="1">
      <alignment horizontal="center" vertical="center"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9" fontId="16" fillId="36" borderId="21" xfId="67" applyNumberFormat="1" applyFont="1" applyFill="1" applyBorder="1" applyAlignment="1" applyProtection="1">
      <alignment horizontal="center" vertical="center"/>
      <protection locked="0"/>
    </xf>
    <xf numFmtId="189" fontId="16" fillId="36" borderId="63" xfId="67" applyNumberFormat="1" applyFont="1" applyFill="1" applyBorder="1" applyAlignment="1" applyProtection="1">
      <alignment horizontal="center" vertical="center"/>
      <protection locked="0"/>
    </xf>
    <xf numFmtId="189" fontId="16" fillId="36" borderId="60" xfId="67" applyNumberFormat="1" applyFont="1" applyFill="1" applyBorder="1" applyAlignment="1" applyProtection="1">
      <alignment horizontal="center" vertical="center"/>
      <protection locked="0"/>
    </xf>
    <xf numFmtId="189" fontId="16" fillId="36" borderId="12" xfId="67" applyNumberFormat="1" applyFont="1" applyFill="1" applyBorder="1" applyAlignment="1" applyProtection="1">
      <alignment horizontal="center" vertical="center"/>
      <protection locked="0"/>
    </xf>
    <xf numFmtId="189" fontId="16" fillId="36" borderId="68" xfId="67" applyNumberFormat="1" applyFont="1" applyFill="1" applyBorder="1" applyAlignment="1" applyProtection="1">
      <alignment horizontal="center" vertical="center"/>
      <protection locked="0"/>
    </xf>
    <xf numFmtId="189" fontId="16" fillId="36" borderId="14" xfId="67" applyNumberFormat="1" applyFont="1" applyFill="1" applyBorder="1" applyAlignment="1" applyProtection="1">
      <alignment horizontal="center" vertical="center"/>
      <protection locked="0"/>
    </xf>
    <xf numFmtId="189" fontId="16" fillId="36" borderId="44" xfId="67" applyNumberFormat="1" applyFont="1" applyFill="1" applyBorder="1" applyAlignment="1" applyProtection="1">
      <alignment horizontal="center" vertical="center"/>
      <protection locked="0"/>
    </xf>
    <xf numFmtId="189" fontId="16" fillId="36" borderId="33" xfId="67" applyNumberFormat="1" applyFont="1" applyFill="1" applyBorder="1" applyAlignment="1" applyProtection="1">
      <alignment horizontal="center" vertical="center"/>
      <protection locked="0"/>
    </xf>
    <xf numFmtId="189" fontId="16" fillId="36" borderId="13" xfId="67" applyNumberFormat="1" applyFont="1" applyFill="1" applyBorder="1" applyAlignment="1" applyProtection="1">
      <alignment horizontal="center" vertical="center"/>
      <protection locked="0"/>
    </xf>
    <xf numFmtId="189" fontId="16" fillId="36" borderId="34" xfId="67" applyNumberFormat="1" applyFont="1" applyFill="1" applyBorder="1" applyAlignment="1" applyProtection="1">
      <alignment horizontal="center" vertical="center"/>
      <protection locked="0"/>
    </xf>
    <xf numFmtId="189" fontId="5" fillId="0" borderId="14" xfId="67" applyNumberFormat="1" applyFont="1" applyFill="1" applyBorder="1" applyAlignment="1" applyProtection="1">
      <alignment horizontal="center" vertical="center"/>
      <protection/>
    </xf>
    <xf numFmtId="189" fontId="5" fillId="0" borderId="13" xfId="67" applyNumberFormat="1" applyFont="1" applyFill="1" applyBorder="1" applyAlignment="1" applyProtection="1">
      <alignment horizontal="center" vertical="center"/>
      <protection/>
    </xf>
    <xf numFmtId="189" fontId="5" fillId="0" borderId="34" xfId="67" applyNumberFormat="1" applyFont="1" applyFill="1" applyBorder="1" applyAlignment="1" applyProtection="1">
      <alignment horizontal="center" vertical="center"/>
      <protection/>
    </xf>
    <xf numFmtId="189" fontId="5" fillId="0" borderId="33" xfId="67" applyNumberFormat="1" applyFont="1" applyFill="1" applyBorder="1" applyAlignment="1" applyProtection="1">
      <alignment horizontal="center" vertical="center"/>
      <protection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67" xfId="63" applyFont="1" applyBorder="1" applyAlignment="1" applyProtection="1">
      <alignment vertical="center"/>
      <protection/>
    </xf>
    <xf numFmtId="189" fontId="16" fillId="36" borderId="19" xfId="67" applyNumberFormat="1" applyFont="1" applyFill="1" applyBorder="1" applyAlignment="1" applyProtection="1">
      <alignment horizontal="center" vertical="center"/>
      <protection locked="0"/>
    </xf>
    <xf numFmtId="189" fontId="16" fillId="36" borderId="10" xfId="67" applyNumberFormat="1" applyFont="1" applyFill="1" applyBorder="1" applyAlignment="1" applyProtection="1">
      <alignment horizontal="center" vertical="center"/>
      <protection locked="0"/>
    </xf>
    <xf numFmtId="189" fontId="16" fillId="36" borderId="67" xfId="67" applyNumberFormat="1" applyFont="1" applyFill="1" applyBorder="1" applyAlignment="1" applyProtection="1">
      <alignment horizontal="center" vertical="center"/>
      <protection locked="0"/>
    </xf>
    <xf numFmtId="189" fontId="16" fillId="36" borderId="66" xfId="67" applyNumberFormat="1" applyFont="1" applyFill="1" applyBorder="1" applyAlignment="1" applyProtection="1">
      <alignment horizontal="center" vertical="center"/>
      <protection locked="0"/>
    </xf>
    <xf numFmtId="0" fontId="10" fillId="0" borderId="74" xfId="63" applyFont="1" applyBorder="1" applyAlignment="1" applyProtection="1">
      <alignment/>
      <protection/>
    </xf>
    <xf numFmtId="0" fontId="10" fillId="0" borderId="75" xfId="63" applyFont="1" applyBorder="1" applyAlignment="1" applyProtection="1">
      <alignment/>
      <protection/>
    </xf>
    <xf numFmtId="189" fontId="10" fillId="37" borderId="76" xfId="67" applyNumberFormat="1" applyFont="1" applyFill="1" applyBorder="1" applyAlignment="1" applyProtection="1">
      <alignment horizontal="center" vertical="center"/>
      <protection/>
    </xf>
    <xf numFmtId="189" fontId="10" fillId="37" borderId="77" xfId="67" applyNumberFormat="1" applyFont="1" applyFill="1" applyBorder="1" applyAlignment="1" applyProtection="1">
      <alignment horizontal="center" vertical="center"/>
      <protection/>
    </xf>
    <xf numFmtId="189" fontId="10" fillId="37" borderId="78" xfId="67" applyNumberFormat="1" applyFont="1" applyFill="1" applyBorder="1" applyAlignment="1" applyProtection="1">
      <alignment horizontal="center" vertical="center"/>
      <protection/>
    </xf>
    <xf numFmtId="189" fontId="10" fillId="37" borderId="79" xfId="67" applyNumberFormat="1" applyFont="1" applyFill="1" applyBorder="1" applyAlignment="1" applyProtection="1">
      <alignment horizontal="center" vertical="center"/>
      <protection/>
    </xf>
    <xf numFmtId="189" fontId="10" fillId="37" borderId="38" xfId="67" applyNumberFormat="1" applyFont="1" applyFill="1" applyBorder="1" applyAlignment="1" applyProtection="1">
      <alignment horizontal="center" vertical="center"/>
      <protection/>
    </xf>
    <xf numFmtId="189" fontId="10" fillId="37" borderId="36" xfId="67" applyNumberFormat="1" applyFont="1" applyFill="1" applyBorder="1" applyAlignment="1" applyProtection="1">
      <alignment horizontal="center" vertical="center"/>
      <protection/>
    </xf>
    <xf numFmtId="189" fontId="10" fillId="37" borderId="37" xfId="67" applyNumberFormat="1" applyFont="1" applyFill="1" applyBorder="1" applyAlignment="1" applyProtection="1">
      <alignment horizontal="center" vertical="center"/>
      <protection/>
    </xf>
    <xf numFmtId="189" fontId="10" fillId="37" borderId="35" xfId="67" applyNumberFormat="1" applyFont="1" applyFill="1" applyBorder="1" applyAlignment="1" applyProtection="1">
      <alignment horizontal="center" vertical="center"/>
      <protection/>
    </xf>
    <xf numFmtId="0" fontId="5" fillId="0" borderId="34" xfId="67" applyFont="1" applyFill="1" applyBorder="1" applyAlignment="1" applyProtection="1">
      <alignment horizontal="left" vertical="center"/>
      <protection/>
    </xf>
    <xf numFmtId="184" fontId="0" fillId="37" borderId="34" xfId="72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Protection="1">
      <alignment/>
      <protection/>
    </xf>
    <xf numFmtId="189" fontId="5" fillId="37" borderId="14" xfId="67" applyNumberFormat="1" applyFont="1" applyFill="1" applyBorder="1" applyAlignment="1" applyProtection="1">
      <alignment horizontal="center" vertical="center"/>
      <protection/>
    </xf>
    <xf numFmtId="189" fontId="5" fillId="37" borderId="44" xfId="67" applyNumberFormat="1" applyFont="1" applyFill="1" applyBorder="1" applyAlignment="1" applyProtection="1">
      <alignment horizontal="center" vertical="center"/>
      <protection/>
    </xf>
    <xf numFmtId="189" fontId="5" fillId="37" borderId="33" xfId="67" applyNumberFormat="1" applyFont="1" applyFill="1" applyBorder="1" applyAlignment="1" applyProtection="1">
      <alignment horizontal="center" vertical="center"/>
      <protection/>
    </xf>
    <xf numFmtId="1" fontId="5" fillId="0" borderId="34" xfId="59" applyNumberFormat="1" applyFont="1" applyBorder="1" applyAlignment="1" applyProtection="1">
      <alignment/>
      <protection/>
    </xf>
    <xf numFmtId="0" fontId="10" fillId="0" borderId="33" xfId="67" applyFont="1" applyFill="1" applyBorder="1" applyAlignment="1" applyProtection="1">
      <alignment vertical="center"/>
      <protection/>
    </xf>
    <xf numFmtId="0" fontId="23" fillId="0" borderId="35" xfId="0" applyFont="1" applyBorder="1" applyAlignment="1" applyProtection="1">
      <alignment vertical="center"/>
      <protection/>
    </xf>
    <xf numFmtId="1" fontId="5" fillId="0" borderId="37" xfId="59" applyNumberFormat="1" applyFont="1" applyBorder="1" applyProtection="1">
      <alignment/>
      <protection/>
    </xf>
    <xf numFmtId="189" fontId="5" fillId="37" borderId="38" xfId="67" applyNumberFormat="1" applyFont="1" applyFill="1" applyBorder="1" applyAlignment="1" applyProtection="1">
      <alignment horizontal="center" vertical="center"/>
      <protection/>
    </xf>
    <xf numFmtId="189" fontId="5" fillId="37" borderId="73" xfId="67" applyNumberFormat="1" applyFont="1" applyFill="1" applyBorder="1" applyAlignment="1" applyProtection="1">
      <alignment horizontal="center" vertical="center"/>
      <protection/>
    </xf>
    <xf numFmtId="189" fontId="5" fillId="37" borderId="35" xfId="67" applyNumberFormat="1" applyFont="1" applyFill="1" applyBorder="1" applyAlignment="1" applyProtection="1">
      <alignment horizontal="center" vertical="center"/>
      <protection/>
    </xf>
    <xf numFmtId="184" fontId="0" fillId="37" borderId="37" xfId="72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3" xfId="64" applyNumberFormat="1" applyFont="1" applyBorder="1" applyAlignment="1" applyProtection="1">
      <alignment horizontal="center" wrapText="1"/>
      <protection/>
    </xf>
    <xf numFmtId="1" fontId="2" fillId="0" borderId="54" xfId="64" applyNumberFormat="1" applyFont="1" applyBorder="1" applyAlignment="1" applyProtection="1">
      <alignment horizontal="centerContinuous" wrapText="1"/>
      <protection/>
    </xf>
    <xf numFmtId="0" fontId="33" fillId="0" borderId="56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1" xfId="64" applyNumberFormat="1" applyFont="1" applyBorder="1" applyAlignment="1" applyProtection="1">
      <alignment wrapText="1"/>
      <protection/>
    </xf>
    <xf numFmtId="1" fontId="2" fillId="0" borderId="66" xfId="64" applyNumberFormat="1" applyFont="1" applyBorder="1" applyAlignment="1" applyProtection="1">
      <alignment horizontal="center" vertical="center" wrapText="1"/>
      <protection/>
    </xf>
    <xf numFmtId="1" fontId="2" fillId="0" borderId="67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9" xfId="64" applyNumberFormat="1" applyFont="1" applyBorder="1" applyProtection="1">
      <alignment/>
      <protection/>
    </xf>
    <xf numFmtId="1" fontId="2" fillId="0" borderId="49" xfId="64" applyNumberFormat="1" applyFont="1" applyBorder="1" applyAlignment="1" applyProtection="1">
      <alignment horizontal="center"/>
      <protection/>
    </xf>
    <xf numFmtId="1" fontId="2" fillId="0" borderId="69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3" xfId="65" applyNumberFormat="1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2" fillId="0" borderId="0" xfId="64" applyFont="1" applyBorder="1" applyProtection="1">
      <alignment/>
      <protection/>
    </xf>
    <xf numFmtId="1" fontId="0" fillId="0" borderId="61" xfId="65" applyNumberFormat="1" applyFont="1" applyBorder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61" xfId="0" applyFont="1" applyBorder="1" applyAlignment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1" xfId="65" applyFont="1" applyBorder="1" applyAlignment="1" applyProtection="1">
      <alignment horizontal="center"/>
      <protection/>
    </xf>
    <xf numFmtId="2" fontId="30" fillId="36" borderId="48" xfId="0" applyNumberFormat="1" applyFont="1" applyFill="1" applyBorder="1" applyAlignment="1" applyProtection="1">
      <alignment horizontal="center" vertical="center"/>
      <protection locked="0"/>
    </xf>
    <xf numFmtId="2" fontId="30" fillId="36" borderId="61" xfId="0" applyNumberFormat="1" applyFont="1" applyFill="1" applyBorder="1" applyAlignment="1" applyProtection="1">
      <alignment horizontal="center" vertical="center"/>
      <protection locked="0"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1" xfId="0" applyNumberFormat="1" applyFont="1" applyBorder="1" applyAlignment="1" applyProtection="1">
      <alignment horizontal="center" vertical="center"/>
      <protection/>
    </xf>
    <xf numFmtId="2" fontId="0" fillId="38" borderId="33" xfId="66" applyNumberFormat="1" applyFont="1" applyFill="1" applyBorder="1" applyAlignment="1" applyProtection="1">
      <alignment horizontal="center" vertical="center"/>
      <protection/>
    </xf>
    <xf numFmtId="2" fontId="0" fillId="38" borderId="34" xfId="66" applyNumberFormat="1" applyFont="1" applyFill="1" applyBorder="1" applyAlignment="1" applyProtection="1">
      <alignment horizontal="center" vertical="center"/>
      <protection/>
    </xf>
    <xf numFmtId="190" fontId="30" fillId="0" borderId="69" xfId="65" applyNumberFormat="1" applyFont="1" applyFill="1" applyBorder="1" applyProtection="1">
      <alignment/>
      <protection/>
    </xf>
    <xf numFmtId="2" fontId="0" fillId="0" borderId="49" xfId="0" applyNumberFormat="1" applyFont="1" applyBorder="1" applyAlignment="1" applyProtection="1">
      <alignment horizontal="center" vertical="center"/>
      <protection/>
    </xf>
    <xf numFmtId="2" fontId="0" fillId="0" borderId="69" xfId="0" applyNumberFormat="1" applyFont="1" applyBorder="1" applyAlignment="1" applyProtection="1">
      <alignment horizontal="center" vertical="center"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1" xfId="65" applyFont="1" applyFill="1" applyBorder="1" applyAlignment="1" applyProtection="1">
      <alignment horizontal="center"/>
      <protection/>
    </xf>
    <xf numFmtId="2" fontId="0" fillId="0" borderId="35" xfId="0" applyNumberFormat="1" applyFont="1" applyBorder="1" applyAlignment="1" applyProtection="1">
      <alignment horizontal="center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3" xfId="65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2" fontId="30" fillId="0" borderId="48" xfId="0" applyNumberFormat="1" applyFont="1" applyFill="1" applyBorder="1" applyAlignment="1" applyProtection="1">
      <alignment horizontal="center" vertical="center"/>
      <protection/>
    </xf>
    <xf numFmtId="2" fontId="30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9" xfId="65" applyFont="1" applyBorder="1" applyAlignment="1" applyProtection="1">
      <alignment horizontal="center"/>
      <protection/>
    </xf>
    <xf numFmtId="2" fontId="30" fillId="36" borderId="49" xfId="0" applyNumberFormat="1" applyFont="1" applyFill="1" applyBorder="1" applyAlignment="1" applyProtection="1">
      <alignment horizontal="center" vertical="center"/>
      <protection locked="0"/>
    </xf>
    <xf numFmtId="2" fontId="30" fillId="36" borderId="69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0" xfId="68" applyFont="1" applyBorder="1" applyAlignment="1">
      <alignment horizontal="center"/>
      <protection/>
    </xf>
    <xf numFmtId="0" fontId="11" fillId="0" borderId="11" xfId="68" applyFont="1" applyBorder="1">
      <alignment/>
      <protection/>
    </xf>
    <xf numFmtId="218" fontId="11" fillId="0" borderId="11" xfId="68" applyNumberFormat="1" applyFont="1" applyBorder="1">
      <alignment/>
      <protection/>
    </xf>
    <xf numFmtId="37" fontId="11" fillId="0" borderId="20" xfId="68" applyNumberFormat="1" applyFont="1" applyBorder="1">
      <alignment/>
      <protection/>
    </xf>
    <xf numFmtId="219" fontId="11" fillId="17" borderId="12" xfId="68" applyNumberFormat="1" applyFont="1" applyFill="1" applyBorder="1">
      <alignment/>
      <protection/>
    </xf>
    <xf numFmtId="219" fontId="11" fillId="0" borderId="12" xfId="68" applyNumberFormat="1" applyFont="1" applyBorder="1">
      <alignment/>
      <protection/>
    </xf>
    <xf numFmtId="218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8" fontId="11" fillId="0" borderId="12" xfId="68" applyNumberFormat="1" applyFont="1" applyBorder="1">
      <alignment/>
      <protection/>
    </xf>
    <xf numFmtId="218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8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9" fontId="41" fillId="0" borderId="13" xfId="68" applyNumberFormat="1" applyFont="1" applyBorder="1" applyAlignment="1" applyProtection="1">
      <alignment horizontal="center" textRotation="90" wrapText="1"/>
      <protection/>
    </xf>
    <xf numFmtId="189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202" fontId="11" fillId="24" borderId="40" xfId="0" applyNumberFormat="1" applyFont="1" applyFill="1" applyBorder="1" applyAlignment="1" applyProtection="1">
      <alignment/>
      <protection/>
    </xf>
    <xf numFmtId="202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202" fontId="29" fillId="36" borderId="48" xfId="0" applyNumberFormat="1" applyFont="1" applyFill="1" applyBorder="1" applyAlignment="1" applyProtection="1">
      <alignment/>
      <protection locked="0"/>
    </xf>
    <xf numFmtId="20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8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202" fontId="5" fillId="0" borderId="0" xfId="0" applyNumberFormat="1" applyFont="1" applyAlignment="1">
      <alignment horizontal="right"/>
    </xf>
    <xf numFmtId="202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202" fontId="16" fillId="36" borderId="43" xfId="0" applyNumberFormat="1" applyFont="1" applyFill="1" applyBorder="1" applyAlignment="1" applyProtection="1">
      <alignment horizontal="right"/>
      <protection locked="0"/>
    </xf>
    <xf numFmtId="202" fontId="5" fillId="24" borderId="82" xfId="0" applyNumberFormat="1" applyFont="1" applyFill="1" applyBorder="1" applyAlignment="1">
      <alignment horizontal="right"/>
    </xf>
    <xf numFmtId="202" fontId="16" fillId="36" borderId="8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202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202" fontId="5" fillId="24" borderId="43" xfId="0" applyNumberFormat="1" applyFont="1" applyFill="1" applyBorder="1" applyAlignment="1">
      <alignment horizontal="right"/>
    </xf>
    <xf numFmtId="202" fontId="16" fillId="36" borderId="42" xfId="0" applyNumberFormat="1" applyFont="1" applyFill="1" applyBorder="1" applyAlignment="1" applyProtection="1">
      <alignment horizontal="right"/>
      <protection locked="0"/>
    </xf>
    <xf numFmtId="202" fontId="5" fillId="24" borderId="84" xfId="0" applyNumberFormat="1" applyFont="1" applyFill="1" applyBorder="1" applyAlignment="1">
      <alignment horizontal="right"/>
    </xf>
    <xf numFmtId="202" fontId="16" fillId="36" borderId="84" xfId="0" applyNumberFormat="1" applyFont="1" applyFill="1" applyBorder="1" applyAlignment="1" applyProtection="1">
      <alignment horizontal="right"/>
      <protection locked="0"/>
    </xf>
    <xf numFmtId="202" fontId="5" fillId="24" borderId="81" xfId="0" applyNumberFormat="1" applyFont="1" applyFill="1" applyBorder="1" applyAlignment="1">
      <alignment horizontal="right"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202" fontId="5" fillId="24" borderId="8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202" fontId="5" fillId="24" borderId="80" xfId="0" applyNumberFormat="1" applyFont="1" applyFill="1" applyBorder="1" applyAlignment="1">
      <alignment horizontal="right"/>
    </xf>
    <xf numFmtId="202" fontId="16" fillId="36" borderId="80" xfId="0" applyNumberFormat="1" applyFont="1" applyFill="1" applyBorder="1" applyAlignment="1" applyProtection="1">
      <alignment horizontal="right"/>
      <protection locked="0"/>
    </xf>
    <xf numFmtId="202" fontId="16" fillId="36" borderId="7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202" fontId="16" fillId="38" borderId="29" xfId="0" applyNumberFormat="1" applyFont="1" applyFill="1" applyBorder="1" applyAlignment="1">
      <alignment horizontal="right"/>
    </xf>
    <xf numFmtId="202" fontId="16" fillId="38" borderId="30" xfId="0" applyNumberFormat="1" applyFont="1" applyFill="1" applyBorder="1" applyAlignment="1">
      <alignment horizontal="right"/>
    </xf>
    <xf numFmtId="202" fontId="5" fillId="38" borderId="41" xfId="0" applyNumberFormat="1" applyFont="1" applyFill="1" applyBorder="1" applyAlignment="1">
      <alignment horizontal="right"/>
    </xf>
    <xf numFmtId="202" fontId="5" fillId="0" borderId="0" xfId="0" applyNumberFormat="1" applyFont="1" applyFill="1" applyAlignment="1">
      <alignment horizontal="right"/>
    </xf>
    <xf numFmtId="202" fontId="16" fillId="36" borderId="4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202" fontId="16" fillId="38" borderId="80" xfId="0" applyNumberFormat="1" applyFont="1" applyFill="1" applyBorder="1" applyAlignment="1">
      <alignment horizontal="right"/>
    </xf>
    <xf numFmtId="202" fontId="16" fillId="38" borderId="80" xfId="0" applyNumberFormat="1" applyFont="1" applyFill="1" applyBorder="1" applyAlignment="1" applyProtection="1">
      <alignment horizontal="right"/>
      <protection/>
    </xf>
    <xf numFmtId="202" fontId="5" fillId="38" borderId="80" xfId="0" applyNumberFormat="1" applyFont="1" applyFill="1" applyBorder="1" applyAlignment="1" applyProtection="1">
      <alignment horizontal="right"/>
      <protection/>
    </xf>
    <xf numFmtId="202" fontId="16" fillId="38" borderId="41" xfId="0" applyNumberFormat="1" applyFont="1" applyFill="1" applyBorder="1" applyAlignment="1">
      <alignment horizontal="right"/>
    </xf>
    <xf numFmtId="0" fontId="10" fillId="0" borderId="74" xfId="0" applyFont="1" applyBorder="1" applyAlignment="1">
      <alignment/>
    </xf>
    <xf numFmtId="0" fontId="10" fillId="0" borderId="85" xfId="0" applyFont="1" applyBorder="1" applyAlignment="1">
      <alignment/>
    </xf>
    <xf numFmtId="0" fontId="10" fillId="0" borderId="75" xfId="0" applyFont="1" applyBorder="1" applyAlignment="1">
      <alignment/>
    </xf>
    <xf numFmtId="0" fontId="10" fillId="0" borderId="0" xfId="0" applyFont="1" applyBorder="1" applyAlignment="1">
      <alignment/>
    </xf>
    <xf numFmtId="202" fontId="10" fillId="24" borderId="41" xfId="0" applyNumberFormat="1" applyFont="1" applyFill="1" applyBorder="1" applyAlignment="1">
      <alignment horizontal="right"/>
    </xf>
    <xf numFmtId="202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202" fontId="16" fillId="36" borderId="63" xfId="0" applyNumberFormat="1" applyFont="1" applyFill="1" applyBorder="1" applyAlignment="1" applyProtection="1">
      <alignment horizontal="right"/>
      <protection locked="0"/>
    </xf>
    <xf numFmtId="0" fontId="5" fillId="0" borderId="71" xfId="0" applyFont="1" applyBorder="1" applyAlignment="1" applyProtection="1">
      <alignment/>
      <protection/>
    </xf>
    <xf numFmtId="0" fontId="5" fillId="0" borderId="72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202" fontId="16" fillId="36" borderId="65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9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4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4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65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74" xfId="0" applyFont="1" applyBorder="1" applyAlignment="1" applyProtection="1">
      <alignment wrapText="1"/>
      <protection/>
    </xf>
    <xf numFmtId="0" fontId="10" fillId="0" borderId="85" xfId="0" applyFont="1" applyBorder="1" applyAlignment="1" applyProtection="1">
      <alignment wrapText="1"/>
      <protection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74" xfId="0" applyFont="1" applyBorder="1" applyAlignment="1">
      <alignment/>
    </xf>
    <xf numFmtId="0" fontId="12" fillId="0" borderId="85" xfId="0" applyFont="1" applyBorder="1" applyAlignment="1" applyProtection="1">
      <alignment horizontal="center"/>
      <protection/>
    </xf>
    <xf numFmtId="0" fontId="11" fillId="0" borderId="75" xfId="0" applyFont="1" applyBorder="1" applyAlignment="1">
      <alignment/>
    </xf>
    <xf numFmtId="0" fontId="12" fillId="0" borderId="80" xfId="0" applyFont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6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8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9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70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74" xfId="0" applyFont="1" applyFill="1" applyBorder="1" applyAlignment="1">
      <alignment horizontal="left" vertical="center"/>
    </xf>
    <xf numFmtId="0" fontId="5" fillId="31" borderId="85" xfId="0" applyFont="1" applyFill="1" applyBorder="1" applyAlignment="1">
      <alignment horizontal="centerContinuous" vertical="center"/>
    </xf>
    <xf numFmtId="0" fontId="5" fillId="31" borderId="75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46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5" fillId="31" borderId="78" xfId="0" applyFont="1" applyFill="1" applyBorder="1" applyAlignment="1" applyProtection="1">
      <alignment horizontal="center" vertical="center" textRotation="90" wrapText="1"/>
      <protection/>
    </xf>
    <xf numFmtId="0" fontId="10" fillId="31" borderId="80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3" xfId="0" applyFont="1" applyFill="1" applyBorder="1" applyAlignment="1">
      <alignment/>
    </xf>
    <xf numFmtId="202" fontId="5" fillId="24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202" fontId="5" fillId="38" borderId="43" xfId="0" applyNumberFormat="1" applyFont="1" applyFill="1" applyBorder="1" applyAlignment="1">
      <alignment/>
    </xf>
    <xf numFmtId="0" fontId="5" fillId="0" borderId="52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/>
    </xf>
    <xf numFmtId="0" fontId="5" fillId="0" borderId="68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202" fontId="10" fillId="24" borderId="43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3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5" fillId="0" borderId="0" xfId="0" applyFont="1" applyAlignment="1" applyProtection="1" quotePrefix="1">
      <alignment/>
      <protection/>
    </xf>
    <xf numFmtId="0" fontId="5" fillId="0" borderId="66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202" fontId="10" fillId="24" borderId="84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9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202" fontId="10" fillId="24" borderId="76" xfId="0" applyNumberFormat="1" applyFont="1" applyFill="1" applyBorder="1" applyAlignment="1">
      <alignment/>
    </xf>
    <xf numFmtId="202" fontId="10" fillId="24" borderId="77" xfId="0" applyNumberFormat="1" applyFont="1" applyFill="1" applyBorder="1" applyAlignment="1">
      <alignment/>
    </xf>
    <xf numFmtId="202" fontId="10" fillId="24" borderId="86" xfId="0" applyNumberFormat="1" applyFont="1" applyFill="1" applyBorder="1" applyAlignment="1">
      <alignment/>
    </xf>
    <xf numFmtId="202" fontId="10" fillId="24" borderId="8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74" xfId="0" applyFont="1" applyFill="1" applyBorder="1" applyAlignment="1">
      <alignment horizontal="left" vertical="center"/>
    </xf>
    <xf numFmtId="0" fontId="10" fillId="4" borderId="85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10" fillId="4" borderId="40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9" xfId="0" applyFont="1" applyFill="1" applyBorder="1" applyAlignment="1" applyProtection="1">
      <alignment vertical="center" wrapText="1"/>
      <protection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70" xfId="0" applyFont="1" applyFill="1" applyBorder="1" applyAlignment="1" applyProtection="1">
      <alignment/>
      <protection/>
    </xf>
    <xf numFmtId="202" fontId="16" fillId="36" borderId="43" xfId="0" applyNumberFormat="1" applyFont="1" applyFill="1" applyBorder="1" applyAlignment="1" applyProtection="1">
      <alignment/>
      <protection locked="0"/>
    </xf>
    <xf numFmtId="202" fontId="5" fillId="24" borderId="82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202" fontId="16" fillId="36" borderId="83" xfId="0" applyNumberFormat="1" applyFont="1" applyFill="1" applyBorder="1" applyAlignment="1" applyProtection="1">
      <alignment/>
      <protection locked="0"/>
    </xf>
    <xf numFmtId="202" fontId="5" fillId="24" borderId="83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70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202" fontId="5" fillId="24" borderId="8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74" xfId="0" applyFont="1" applyFill="1" applyBorder="1" applyAlignment="1">
      <alignment horizontal="left" vertical="center"/>
    </xf>
    <xf numFmtId="0" fontId="0" fillId="4" borderId="85" xfId="0" applyFill="1" applyBorder="1" applyAlignment="1">
      <alignment/>
    </xf>
    <xf numFmtId="0" fontId="12" fillId="4" borderId="80" xfId="0" applyFont="1" applyFill="1" applyBorder="1" applyAlignment="1" applyProtection="1">
      <alignment horizontal="center" wrapText="1"/>
      <protection/>
    </xf>
    <xf numFmtId="0" fontId="36" fillId="0" borderId="74" xfId="0" applyFont="1" applyBorder="1" applyAlignment="1">
      <alignment vertical="center"/>
    </xf>
    <xf numFmtId="0" fontId="0" fillId="0" borderId="85" xfId="0" applyBorder="1" applyAlignment="1">
      <alignment/>
    </xf>
    <xf numFmtId="0" fontId="11" fillId="0" borderId="62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202" fontId="10" fillId="24" borderId="81" xfId="0" applyNumberFormat="1" applyFont="1" applyFill="1" applyBorder="1" applyAlignment="1">
      <alignment/>
    </xf>
    <xf numFmtId="0" fontId="11" fillId="0" borderId="52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1" xfId="0" applyFont="1" applyBorder="1" applyAlignment="1" applyProtection="1">
      <alignment/>
      <protection/>
    </xf>
    <xf numFmtId="0" fontId="11" fillId="0" borderId="72" xfId="0" applyFont="1" applyBorder="1" applyAlignment="1" applyProtection="1">
      <alignment wrapText="1"/>
      <protection/>
    </xf>
    <xf numFmtId="202" fontId="10" fillId="24" borderId="83" xfId="0" applyNumberFormat="1" applyFont="1" applyFill="1" applyBorder="1" applyAlignment="1">
      <alignment/>
    </xf>
    <xf numFmtId="0" fontId="12" fillId="0" borderId="74" xfId="0" applyFont="1" applyBorder="1" applyAlignment="1" applyProtection="1">
      <alignment/>
      <protection/>
    </xf>
    <xf numFmtId="0" fontId="12" fillId="0" borderId="85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202" fontId="0" fillId="24" borderId="80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202" fontId="10" fillId="0" borderId="80" xfId="0" applyNumberFormat="1" applyFont="1" applyFill="1" applyBorder="1" applyAlignment="1">
      <alignment/>
    </xf>
    <xf numFmtId="202" fontId="5" fillId="0" borderId="43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41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62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2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80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2" fillId="0" borderId="8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202" fontId="11" fillId="0" borderId="31" xfId="0" applyNumberFormat="1" applyFont="1" applyFill="1" applyBorder="1" applyAlignment="1">
      <alignment/>
    </xf>
    <xf numFmtId="0" fontId="11" fillId="0" borderId="85" xfId="0" applyFont="1" applyFill="1" applyBorder="1" applyAlignment="1">
      <alignment/>
    </xf>
    <xf numFmtId="202" fontId="11" fillId="0" borderId="80" xfId="0" applyNumberFormat="1" applyFont="1" applyFill="1" applyBorder="1" applyAlignment="1">
      <alignment horizontal="center" wrapText="1"/>
    </xf>
    <xf numFmtId="202" fontId="43" fillId="0" borderId="80" xfId="0" applyNumberFormat="1" applyFont="1" applyFill="1" applyBorder="1" applyAlignment="1">
      <alignment horizontal="center"/>
    </xf>
    <xf numFmtId="202" fontId="43" fillId="0" borderId="80" xfId="0" applyNumberFormat="1" applyFont="1" applyFill="1" applyBorder="1" applyAlignment="1">
      <alignment horizontal="center" textRotation="90" wrapText="1"/>
    </xf>
    <xf numFmtId="202" fontId="43" fillId="0" borderId="39" xfId="0" applyNumberFormat="1" applyFont="1" applyFill="1" applyBorder="1" applyAlignment="1">
      <alignment horizontal="center"/>
    </xf>
    <xf numFmtId="202" fontId="43" fillId="0" borderId="39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202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202" fontId="43" fillId="0" borderId="0" xfId="0" applyNumberFormat="1" applyFont="1" applyFill="1" applyBorder="1" applyAlignment="1">
      <alignment/>
    </xf>
    <xf numFmtId="202" fontId="11" fillId="0" borderId="30" xfId="0" applyNumberFormat="1" applyFont="1" applyFill="1" applyBorder="1" applyAlignment="1">
      <alignment/>
    </xf>
    <xf numFmtId="202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202" fontId="43" fillId="0" borderId="23" xfId="0" applyNumberFormat="1" applyFont="1" applyFill="1" applyBorder="1" applyAlignment="1">
      <alignment/>
    </xf>
    <xf numFmtId="202" fontId="11" fillId="0" borderId="28" xfId="0" applyNumberFormat="1" applyFont="1" applyFill="1" applyBorder="1" applyAlignment="1">
      <alignment/>
    </xf>
    <xf numFmtId="202" fontId="12" fillId="0" borderId="31" xfId="0" applyNumberFormat="1" applyFont="1" applyFill="1" applyBorder="1" applyAlignment="1">
      <alignment horizontal="center"/>
    </xf>
    <xf numFmtId="202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2" fontId="29" fillId="36" borderId="26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202" fontId="29" fillId="36" borderId="62" xfId="0" applyNumberFormat="1" applyFont="1" applyFill="1" applyBorder="1" applyAlignment="1" applyProtection="1">
      <alignment/>
      <protection locked="0"/>
    </xf>
    <xf numFmtId="202" fontId="11" fillId="0" borderId="26" xfId="0" applyNumberFormat="1" applyFont="1" applyFill="1" applyBorder="1" applyAlignment="1" applyProtection="1">
      <alignment/>
      <protection/>
    </xf>
    <xf numFmtId="202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202" fontId="11" fillId="0" borderId="29" xfId="0" applyNumberFormat="1" applyFont="1" applyFill="1" applyBorder="1" applyAlignment="1" applyProtection="1">
      <alignment/>
      <protection/>
    </xf>
    <xf numFmtId="202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202" fontId="29" fillId="36" borderId="40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202" fontId="12" fillId="24" borderId="89" xfId="0" applyNumberFormat="1" applyFont="1" applyFill="1" applyBorder="1" applyAlignment="1" applyProtection="1">
      <alignment/>
      <protection locked="0"/>
    </xf>
    <xf numFmtId="220" fontId="12" fillId="0" borderId="10" xfId="0" applyNumberFormat="1" applyFont="1" applyBorder="1" applyAlignment="1">
      <alignment vertical="top"/>
    </xf>
    <xf numFmtId="220" fontId="12" fillId="0" borderId="12" xfId="0" applyNumberFormat="1" applyFont="1" applyBorder="1" applyAlignment="1">
      <alignment/>
    </xf>
    <xf numFmtId="220" fontId="48" fillId="36" borderId="11" xfId="0" applyNumberFormat="1" applyFont="1" applyFill="1" applyBorder="1" applyAlignment="1" applyProtection="1">
      <alignment horizontal="left"/>
      <protection locked="0"/>
    </xf>
    <xf numFmtId="189" fontId="12" fillId="24" borderId="13" xfId="0" applyNumberFormat="1" applyFont="1" applyFill="1" applyBorder="1" applyAlignment="1">
      <alignment/>
    </xf>
    <xf numFmtId="202" fontId="12" fillId="24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202" fontId="29" fillId="38" borderId="39" xfId="0" applyNumberFormat="1" applyFont="1" applyFill="1" applyBorder="1" applyAlignment="1" applyProtection="1">
      <alignment/>
      <protection/>
    </xf>
    <xf numFmtId="202" fontId="29" fillId="36" borderId="41" xfId="0" applyNumberFormat="1" applyFont="1" applyFill="1" applyBorder="1" applyAlignment="1" applyProtection="1">
      <alignment/>
      <protection locked="0"/>
    </xf>
    <xf numFmtId="202" fontId="12" fillId="24" borderId="89" xfId="0" applyNumberFormat="1" applyFont="1" applyFill="1" applyBorder="1" applyAlignment="1" applyProtection="1">
      <alignment/>
      <protection/>
    </xf>
    <xf numFmtId="202" fontId="11" fillId="24" borderId="39" xfId="0" applyNumberFormat="1" applyFont="1" applyFill="1" applyBorder="1" applyAlignment="1" applyProtection="1">
      <alignment/>
      <protection/>
    </xf>
    <xf numFmtId="202" fontId="29" fillId="36" borderId="87" xfId="0" applyNumberFormat="1" applyFont="1" applyFill="1" applyBorder="1" applyAlignment="1" applyProtection="1">
      <alignment/>
      <protection locked="0"/>
    </xf>
    <xf numFmtId="202" fontId="29" fillId="36" borderId="53" xfId="0" applyNumberFormat="1" applyFont="1" applyFill="1" applyBorder="1" applyAlignment="1" applyProtection="1">
      <alignment/>
      <protection locked="0"/>
    </xf>
    <xf numFmtId="202" fontId="11" fillId="24" borderId="41" xfId="0" applyNumberFormat="1" applyFont="1" applyFill="1" applyBorder="1" applyAlignment="1" applyProtection="1">
      <alignment/>
      <protection/>
    </xf>
    <xf numFmtId="202" fontId="29" fillId="36" borderId="49" xfId="0" applyNumberFormat="1" applyFont="1" applyFill="1" applyBorder="1" applyAlignment="1" applyProtection="1">
      <alignment/>
      <protection locked="0"/>
    </xf>
    <xf numFmtId="202" fontId="29" fillId="36" borderId="90" xfId="0" applyNumberFormat="1" applyFont="1" applyFill="1" applyBorder="1" applyAlignment="1" applyProtection="1">
      <alignment/>
      <protection locked="0"/>
    </xf>
    <xf numFmtId="202" fontId="29" fillId="36" borderId="69" xfId="0" applyNumberFormat="1" applyFont="1" applyFill="1" applyBorder="1" applyAlignment="1" applyProtection="1">
      <alignment/>
      <protection locked="0"/>
    </xf>
    <xf numFmtId="202" fontId="29" fillId="36" borderId="31" xfId="0" applyNumberFormat="1" applyFont="1" applyFill="1" applyBorder="1" applyAlignment="1" applyProtection="1">
      <alignment/>
      <protection locked="0"/>
    </xf>
    <xf numFmtId="202" fontId="29" fillId="36" borderId="63" xfId="0" applyNumberFormat="1" applyFont="1" applyFill="1" applyBorder="1" applyAlignment="1" applyProtection="1">
      <alignment/>
      <protection locked="0"/>
    </xf>
    <xf numFmtId="202" fontId="12" fillId="24" borderId="83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202" fontId="11" fillId="40" borderId="40" xfId="0" applyNumberFormat="1" applyFont="1" applyFill="1" applyBorder="1" applyAlignment="1" applyProtection="1">
      <alignment/>
      <protection/>
    </xf>
    <xf numFmtId="202" fontId="29" fillId="40" borderId="48" xfId="0" applyNumberFormat="1" applyFont="1" applyFill="1" applyBorder="1" applyAlignment="1" applyProtection="1">
      <alignment/>
      <protection/>
    </xf>
    <xf numFmtId="202" fontId="29" fillId="40" borderId="31" xfId="0" applyNumberFormat="1" applyFont="1" applyFill="1" applyBorder="1" applyAlignment="1" applyProtection="1">
      <alignment/>
      <protection/>
    </xf>
    <xf numFmtId="202" fontId="29" fillId="40" borderId="63" xfId="0" applyNumberFormat="1" applyFont="1" applyFill="1" applyBorder="1" applyAlignment="1" applyProtection="1">
      <alignment/>
      <protection/>
    </xf>
    <xf numFmtId="202" fontId="12" fillId="40" borderId="8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202" fontId="11" fillId="24" borderId="80" xfId="0" applyNumberFormat="1" applyFont="1" applyFill="1" applyBorder="1" applyAlignment="1" applyProtection="1">
      <alignment/>
      <protection/>
    </xf>
    <xf numFmtId="202" fontId="29" fillId="38" borderId="76" xfId="0" applyNumberFormat="1" applyFont="1" applyFill="1" applyBorder="1" applyAlignment="1" applyProtection="1">
      <alignment/>
      <protection/>
    </xf>
    <xf numFmtId="202" fontId="29" fillId="36" borderId="76" xfId="0" applyNumberFormat="1" applyFont="1" applyFill="1" applyBorder="1" applyAlignment="1" applyProtection="1">
      <alignment/>
      <protection locked="0"/>
    </xf>
    <xf numFmtId="202" fontId="29" fillId="38" borderId="77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202" fontId="29" fillId="36" borderId="80" xfId="0" applyNumberFormat="1" applyFont="1" applyFill="1" applyBorder="1" applyAlignment="1" applyProtection="1">
      <alignment/>
      <protection locked="0"/>
    </xf>
    <xf numFmtId="202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202" fontId="29" fillId="0" borderId="31" xfId="0" applyNumberFormat="1" applyFont="1" applyFill="1" applyBorder="1" applyAlignment="1" applyProtection="1">
      <alignment/>
      <protection locked="0"/>
    </xf>
    <xf numFmtId="202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202" fontId="11" fillId="0" borderId="0" xfId="0" applyNumberFormat="1" applyFont="1" applyFill="1" applyBorder="1" applyAlignment="1" applyProtection="1">
      <alignment/>
      <protection locked="0"/>
    </xf>
    <xf numFmtId="202" fontId="11" fillId="0" borderId="31" xfId="0" applyNumberFormat="1" applyFont="1" applyFill="1" applyBorder="1" applyAlignment="1" applyProtection="1">
      <alignment/>
      <protection locked="0"/>
    </xf>
    <xf numFmtId="202" fontId="29" fillId="36" borderId="82" xfId="0" applyNumberFormat="1" applyFont="1" applyFill="1" applyBorder="1" applyAlignment="1" applyProtection="1">
      <alignment/>
      <protection locked="0"/>
    </xf>
    <xf numFmtId="202" fontId="11" fillId="38" borderId="62" xfId="0" applyNumberFormat="1" applyFont="1" applyFill="1" applyBorder="1" applyAlignment="1" applyProtection="1">
      <alignment/>
      <protection locked="0"/>
    </xf>
    <xf numFmtId="202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9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40" xfId="67" applyFont="1" applyFill="1" applyBorder="1" applyAlignment="1" applyProtection="1">
      <alignment horizontal="left" vertical="center" indent="1"/>
      <protection/>
    </xf>
    <xf numFmtId="0" fontId="0" fillId="0" borderId="40" xfId="0" applyBorder="1" applyAlignment="1">
      <alignment horizontal="center"/>
    </xf>
    <xf numFmtId="190" fontId="16" fillId="0" borderId="41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9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90" fontId="11" fillId="24" borderId="76" xfId="0" applyNumberFormat="1" applyFont="1" applyFill="1" applyBorder="1" applyAlignment="1" applyProtection="1">
      <alignment horizontal="right"/>
      <protection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8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84" fontId="0" fillId="0" borderId="19" xfId="0" applyNumberFormat="1" applyFont="1" applyBorder="1" applyAlignment="1">
      <alignment horizontal="center"/>
    </xf>
    <xf numFmtId="184" fontId="0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indent="1"/>
    </xf>
    <xf numFmtId="184" fontId="0" fillId="0" borderId="21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202" fontId="16" fillId="36" borderId="60" xfId="0" applyNumberFormat="1" applyFont="1" applyFill="1" applyBorder="1" applyAlignment="1" applyProtection="1">
      <alignment horizontal="right"/>
      <protection locked="0"/>
    </xf>
    <xf numFmtId="202" fontId="16" fillId="36" borderId="35" xfId="0" applyNumberFormat="1" applyFont="1" applyFill="1" applyBorder="1" applyAlignment="1" applyProtection="1">
      <alignment horizontal="right"/>
      <protection locked="0"/>
    </xf>
    <xf numFmtId="202" fontId="16" fillId="36" borderId="57" xfId="0" applyNumberFormat="1" applyFont="1" applyFill="1" applyBorder="1" applyAlignment="1" applyProtection="1">
      <alignment horizontal="right"/>
      <protection locked="0"/>
    </xf>
    <xf numFmtId="202" fontId="16" fillId="36" borderId="33" xfId="0" applyNumberFormat="1" applyFont="1" applyFill="1" applyBorder="1" applyAlignment="1" applyProtection="1">
      <alignment horizontal="right"/>
      <protection locked="0"/>
    </xf>
    <xf numFmtId="202" fontId="16" fillId="38" borderId="74" xfId="0" applyNumberFormat="1" applyFont="1" applyFill="1" applyBorder="1" applyAlignment="1">
      <alignment horizontal="right"/>
    </xf>
    <xf numFmtId="202" fontId="16" fillId="38" borderId="85" xfId="0" applyNumberFormat="1" applyFont="1" applyFill="1" applyBorder="1" applyAlignment="1">
      <alignment horizontal="right"/>
    </xf>
    <xf numFmtId="0" fontId="45" fillId="0" borderId="74" xfId="0" applyFont="1" applyFill="1" applyBorder="1" applyAlignment="1" applyProtection="1">
      <alignment/>
      <protection/>
    </xf>
    <xf numFmtId="0" fontId="10" fillId="0" borderId="85" xfId="0" applyFont="1" applyBorder="1" applyAlignment="1" applyProtection="1">
      <alignment/>
      <protection/>
    </xf>
    <xf numFmtId="0" fontId="10" fillId="0" borderId="74" xfId="0" applyFont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85" xfId="0" applyFont="1" applyBorder="1" applyAlignment="1" applyProtection="1">
      <alignment/>
      <protection/>
    </xf>
    <xf numFmtId="0" fontId="10" fillId="0" borderId="75" xfId="0" applyFont="1" applyBorder="1" applyAlignment="1" applyProtection="1">
      <alignment wrapText="1"/>
      <protection/>
    </xf>
    <xf numFmtId="202" fontId="10" fillId="24" borderId="75" xfId="0" applyNumberFormat="1" applyFont="1" applyFill="1" applyBorder="1" applyAlignment="1">
      <alignment horizontal="right"/>
    </xf>
    <xf numFmtId="202" fontId="16" fillId="36" borderId="14" xfId="0" applyNumberFormat="1" applyFont="1" applyFill="1" applyBorder="1" applyAlignment="1" applyProtection="1">
      <alignment/>
      <protection locked="0"/>
    </xf>
    <xf numFmtId="202" fontId="16" fillId="38" borderId="13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 applyProtection="1">
      <alignment/>
      <protection/>
    </xf>
    <xf numFmtId="202" fontId="16" fillId="38" borderId="18" xfId="0" applyNumberFormat="1" applyFont="1" applyFill="1" applyBorder="1" applyAlignment="1">
      <alignment/>
    </xf>
    <xf numFmtId="202" fontId="10" fillId="38" borderId="20" xfId="0" applyNumberFormat="1" applyFont="1" applyFill="1" applyBorder="1" applyAlignment="1">
      <alignment horizontal="center"/>
    </xf>
    <xf numFmtId="202" fontId="10" fillId="38" borderId="11" xfId="0" applyNumberFormat="1" applyFont="1" applyFill="1" applyBorder="1" applyAlignment="1">
      <alignment horizontal="center"/>
    </xf>
    <xf numFmtId="202" fontId="16" fillId="38" borderId="14" xfId="0" applyNumberFormat="1" applyFont="1" applyFill="1" applyBorder="1" applyAlignment="1" applyProtection="1">
      <alignment/>
      <protection/>
    </xf>
    <xf numFmtId="202" fontId="16" fillId="38" borderId="14" xfId="0" applyNumberFormat="1" applyFont="1" applyFill="1" applyBorder="1" applyAlignment="1">
      <alignment/>
    </xf>
    <xf numFmtId="202" fontId="16" fillId="38" borderId="13" xfId="0" applyNumberFormat="1" applyFont="1" applyFill="1" applyBorder="1" applyAlignment="1">
      <alignment/>
    </xf>
    <xf numFmtId="202" fontId="10" fillId="24" borderId="14" xfId="0" applyNumberFormat="1" applyFont="1" applyFill="1" applyBorder="1" applyAlignment="1">
      <alignment/>
    </xf>
    <xf numFmtId="202" fontId="10" fillId="24" borderId="25" xfId="0" applyNumberFormat="1" applyFont="1" applyFill="1" applyBorder="1" applyAlignment="1">
      <alignment/>
    </xf>
    <xf numFmtId="202" fontId="10" fillId="24" borderId="13" xfId="0" applyNumberFormat="1" applyFont="1" applyFill="1" applyBorder="1" applyAlignment="1">
      <alignment/>
    </xf>
    <xf numFmtId="202" fontId="10" fillId="24" borderId="18" xfId="0" applyNumberFormat="1" applyFont="1" applyFill="1" applyBorder="1" applyAlignment="1">
      <alignment/>
    </xf>
    <xf numFmtId="202" fontId="16" fillId="38" borderId="10" xfId="0" applyNumberFormat="1" applyFont="1" applyFill="1" applyBorder="1" applyAlignment="1">
      <alignment/>
    </xf>
    <xf numFmtId="202" fontId="5" fillId="38" borderId="10" xfId="0" applyNumberFormat="1" applyFont="1" applyFill="1" applyBorder="1" applyAlignment="1">
      <alignment/>
    </xf>
    <xf numFmtId="0" fontId="10" fillId="4" borderId="85" xfId="0" applyFont="1" applyFill="1" applyBorder="1" applyAlignment="1" applyProtection="1">
      <alignment vertical="center" wrapText="1"/>
      <protection/>
    </xf>
    <xf numFmtId="0" fontId="10" fillId="4" borderId="75" xfId="0" applyFont="1" applyFill="1" applyBorder="1" applyAlignment="1" applyProtection="1">
      <alignment horizontal="center" vertical="center" wrapText="1"/>
      <protection/>
    </xf>
    <xf numFmtId="0" fontId="10" fillId="32" borderId="85" xfId="0" applyFont="1" applyFill="1" applyBorder="1" applyAlignment="1" applyProtection="1">
      <alignment horizontal="center" wrapText="1"/>
      <protection/>
    </xf>
    <xf numFmtId="0" fontId="10" fillId="32" borderId="75" xfId="0" applyFont="1" applyFill="1" applyBorder="1" applyAlignment="1" applyProtection="1">
      <alignment horizontal="center" wrapText="1"/>
      <protection/>
    </xf>
    <xf numFmtId="0" fontId="10" fillId="0" borderId="75" xfId="0" applyFont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0" fillId="0" borderId="31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/>
    </xf>
    <xf numFmtId="202" fontId="0" fillId="0" borderId="30" xfId="0" applyNumberFormat="1" applyFont="1" applyFill="1" applyBorder="1" applyAlignment="1">
      <alignment/>
    </xf>
    <xf numFmtId="202" fontId="0" fillId="0" borderId="32" xfId="0" applyNumberFormat="1" applyFont="1" applyFill="1" applyBorder="1" applyAlignment="1">
      <alignment/>
    </xf>
    <xf numFmtId="202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20" fontId="12" fillId="0" borderId="12" xfId="0" applyNumberFormat="1" applyFont="1" applyBorder="1" applyAlignment="1">
      <alignment horizontal="center"/>
    </xf>
    <xf numFmtId="220" fontId="12" fillId="0" borderId="17" xfId="0" applyNumberFormat="1" applyFont="1" applyBorder="1" applyAlignment="1">
      <alignment horizontal="center"/>
    </xf>
    <xf numFmtId="202" fontId="29" fillId="36" borderId="16" xfId="0" applyNumberFormat="1" applyFont="1" applyFill="1" applyBorder="1" applyAlignment="1" applyProtection="1">
      <alignment horizontal="right"/>
      <protection locked="0"/>
    </xf>
    <xf numFmtId="202" fontId="11" fillId="24" borderId="11" xfId="66" applyNumberFormat="1" applyFont="1" applyFill="1" applyBorder="1">
      <alignment/>
      <protection/>
    </xf>
    <xf numFmtId="220" fontId="48" fillId="36" borderId="10" xfId="0" applyNumberFormat="1" applyFont="1" applyFill="1" applyBorder="1" applyAlignment="1" applyProtection="1">
      <alignment horizontal="left"/>
      <protection locked="0"/>
    </xf>
    <xf numFmtId="220" fontId="48" fillId="36" borderId="12" xfId="0" applyNumberFormat="1" applyFont="1" applyFill="1" applyBorder="1" applyAlignment="1" applyProtection="1">
      <alignment horizontal="left"/>
      <protection locked="0"/>
    </xf>
    <xf numFmtId="202" fontId="29" fillId="36" borderId="45" xfId="0" applyNumberFormat="1" applyFont="1" applyFill="1" applyBorder="1" applyAlignment="1" applyProtection="1">
      <alignment/>
      <protection locked="0"/>
    </xf>
    <xf numFmtId="202" fontId="29" fillId="36" borderId="20" xfId="0" applyNumberFormat="1" applyFont="1" applyFill="1" applyBorder="1" applyAlignment="1" applyProtection="1">
      <alignment/>
      <protection locked="0"/>
    </xf>
    <xf numFmtId="202" fontId="29" fillId="36" borderId="11" xfId="0" applyNumberFormat="1" applyFont="1" applyFill="1" applyBorder="1" applyAlignment="1" applyProtection="1">
      <alignment/>
      <protection locked="0"/>
    </xf>
    <xf numFmtId="202" fontId="29" fillId="36" borderId="60" xfId="0" applyNumberFormat="1" applyFont="1" applyFill="1" applyBorder="1" applyAlignment="1" applyProtection="1">
      <alignment/>
      <protection locked="0"/>
    </xf>
    <xf numFmtId="202" fontId="29" fillId="36" borderId="21" xfId="0" applyNumberFormat="1" applyFont="1" applyFill="1" applyBorder="1" applyAlignment="1" applyProtection="1">
      <alignment/>
      <protection locked="0"/>
    </xf>
    <xf numFmtId="202" fontId="29" fillId="36" borderId="12" xfId="0" applyNumberFormat="1" applyFont="1" applyFill="1" applyBorder="1" applyAlignment="1" applyProtection="1">
      <alignment/>
      <protection locked="0"/>
    </xf>
    <xf numFmtId="202" fontId="29" fillId="40" borderId="20" xfId="0" applyNumberFormat="1" applyFont="1" applyFill="1" applyBorder="1" applyAlignment="1" applyProtection="1">
      <alignment/>
      <protection/>
    </xf>
    <xf numFmtId="202" fontId="29" fillId="40" borderId="11" xfId="0" applyNumberFormat="1" applyFont="1" applyFill="1" applyBorder="1" applyAlignment="1" applyProtection="1">
      <alignment/>
      <protection/>
    </xf>
    <xf numFmtId="202" fontId="29" fillId="40" borderId="60" xfId="0" applyNumberFormat="1" applyFont="1" applyFill="1" applyBorder="1" applyAlignment="1" applyProtection="1">
      <alignment/>
      <protection/>
    </xf>
    <xf numFmtId="202" fontId="29" fillId="40" borderId="21" xfId="0" applyNumberFormat="1" applyFont="1" applyFill="1" applyBorder="1" applyAlignment="1" applyProtection="1">
      <alignment/>
      <protection/>
    </xf>
    <xf numFmtId="202" fontId="29" fillId="40" borderId="12" xfId="0" applyNumberFormat="1" applyFont="1" applyFill="1" applyBorder="1" applyAlignment="1" applyProtection="1">
      <alignment/>
      <protection/>
    </xf>
    <xf numFmtId="202" fontId="29" fillId="38" borderId="75" xfId="0" applyNumberFormat="1" applyFont="1" applyFill="1" applyBorder="1" applyAlignment="1" applyProtection="1">
      <alignment/>
      <protection/>
    </xf>
    <xf numFmtId="0" fontId="5" fillId="33" borderId="33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84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184" fontId="2" fillId="0" borderId="10" xfId="0" applyNumberFormat="1" applyFont="1" applyBorder="1" applyAlignment="1">
      <alignment horizontal="center"/>
    </xf>
    <xf numFmtId="184" fontId="0" fillId="4" borderId="0" xfId="0" applyNumberFormat="1" applyFont="1" applyFill="1" applyAlignment="1" applyProtection="1">
      <alignment horizontal="center"/>
      <protection locked="0"/>
    </xf>
    <xf numFmtId="0" fontId="0" fillId="5" borderId="0" xfId="0" applyNumberFormat="1" applyFont="1" applyFill="1" applyAlignment="1" applyProtection="1">
      <alignment horizontal="center"/>
      <protection locked="0"/>
    </xf>
    <xf numFmtId="0" fontId="0" fillId="24" borderId="0" xfId="0" applyNumberFormat="1" applyFont="1" applyFill="1" applyAlignment="1" applyProtection="1">
      <alignment horizontal="center"/>
      <protection locked="0"/>
    </xf>
    <xf numFmtId="49" fontId="2" fillId="33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221" fontId="0" fillId="41" borderId="0" xfId="0" applyNumberFormat="1" applyFont="1" applyFill="1" applyAlignment="1" applyProtection="1">
      <alignment/>
      <protection locked="0"/>
    </xf>
    <xf numFmtId="222" fontId="0" fillId="8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61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5" xfId="61" applyFont="1" applyBorder="1" applyProtection="1">
      <alignment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8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33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34" xfId="61" applyFont="1" applyBorder="1" applyAlignment="1" applyProtection="1">
      <alignment horizontal="center" vertical="center" wrapText="1"/>
      <protection/>
    </xf>
    <xf numFmtId="0" fontId="0" fillId="0" borderId="61" xfId="61" applyNumberFormat="1" applyFont="1" applyBorder="1" applyAlignment="1" applyProtection="1">
      <alignment horizontal="center" wrapText="1"/>
      <protection/>
    </xf>
    <xf numFmtId="189" fontId="0" fillId="0" borderId="60" xfId="61" applyNumberFormat="1" applyFont="1" applyFill="1" applyBorder="1" applyAlignment="1" applyProtection="1">
      <alignment horizontal="center" vertical="center"/>
      <protection/>
    </xf>
    <xf numFmtId="189" fontId="0" fillId="0" borderId="21" xfId="61" applyNumberFormat="1" applyFont="1" applyFill="1" applyBorder="1" applyAlignment="1" applyProtection="1">
      <alignment horizontal="center" vertical="center"/>
      <protection/>
    </xf>
    <xf numFmtId="189" fontId="0" fillId="0" borderId="68" xfId="61" applyNumberFormat="1" applyFont="1" applyFill="1" applyBorder="1" applyAlignment="1" applyProtection="1">
      <alignment horizontal="center" vertical="center"/>
      <protection/>
    </xf>
    <xf numFmtId="189" fontId="0" fillId="0" borderId="12" xfId="61" applyNumberFormat="1" applyFont="1" applyFill="1" applyBorder="1" applyAlignment="1" applyProtection="1">
      <alignment horizontal="center" vertical="center"/>
      <protection/>
    </xf>
    <xf numFmtId="184" fontId="0" fillId="37" borderId="34" xfId="71" applyNumberFormat="1" applyFont="1" applyFill="1" applyBorder="1" applyAlignment="1" applyProtection="1">
      <alignment horizontal="center" vertical="center"/>
      <protection/>
    </xf>
    <xf numFmtId="189" fontId="0" fillId="0" borderId="33" xfId="61" applyNumberFormat="1" applyFont="1" applyFill="1" applyBorder="1" applyAlignment="1" applyProtection="1">
      <alignment horizontal="center" vertical="center"/>
      <protection/>
    </xf>
    <xf numFmtId="189" fontId="0" fillId="0" borderId="14" xfId="61" applyNumberFormat="1" applyFont="1" applyFill="1" applyBorder="1" applyAlignment="1" applyProtection="1">
      <alignment horizontal="center" vertical="center"/>
      <protection/>
    </xf>
    <xf numFmtId="189" fontId="0" fillId="0" borderId="34" xfId="61" applyNumberFormat="1" applyFont="1" applyFill="1" applyBorder="1" applyAlignment="1" applyProtection="1">
      <alignment horizontal="center" vertical="center"/>
      <protection/>
    </xf>
    <xf numFmtId="189" fontId="0" fillId="0" borderId="13" xfId="61" applyNumberFormat="1" applyFont="1" applyFill="1" applyBorder="1" applyAlignment="1" applyProtection="1">
      <alignment horizontal="center" vertical="center"/>
      <protection/>
    </xf>
    <xf numFmtId="189" fontId="2" fillId="37" borderId="33" xfId="61" applyNumberFormat="1" applyFont="1" applyFill="1" applyBorder="1" applyAlignment="1" applyProtection="1">
      <alignment horizontal="center" vertical="center"/>
      <protection/>
    </xf>
    <xf numFmtId="189" fontId="2" fillId="37" borderId="13" xfId="61" applyNumberFormat="1" applyFont="1" applyFill="1" applyBorder="1" applyAlignment="1" applyProtection="1">
      <alignment horizontal="center" vertical="center"/>
      <protection/>
    </xf>
    <xf numFmtId="189" fontId="2" fillId="37" borderId="34" xfId="61" applyNumberFormat="1" applyFont="1" applyFill="1" applyBorder="1" applyAlignment="1" applyProtection="1">
      <alignment horizontal="center" vertical="center"/>
      <protection/>
    </xf>
    <xf numFmtId="189" fontId="2" fillId="37" borderId="14" xfId="61" applyNumberFormat="1" applyFont="1" applyFill="1" applyBorder="1" applyAlignment="1" applyProtection="1">
      <alignment horizontal="center" vertical="center"/>
      <protection/>
    </xf>
    <xf numFmtId="0" fontId="0" fillId="0" borderId="69" xfId="61" applyNumberFormat="1" applyFont="1" applyBorder="1" applyAlignment="1" applyProtection="1">
      <alignment horizontal="center" wrapText="1"/>
      <protection/>
    </xf>
    <xf numFmtId="189" fontId="2" fillId="37" borderId="35" xfId="61" applyNumberFormat="1" applyFont="1" applyFill="1" applyBorder="1" applyAlignment="1" applyProtection="1">
      <alignment horizontal="center" vertical="center"/>
      <protection/>
    </xf>
    <xf numFmtId="189" fontId="2" fillId="37" borderId="36" xfId="61" applyNumberFormat="1" applyFont="1" applyFill="1" applyBorder="1" applyAlignment="1" applyProtection="1">
      <alignment horizontal="center" vertical="center"/>
      <protection/>
    </xf>
    <xf numFmtId="189" fontId="2" fillId="37" borderId="37" xfId="61" applyNumberFormat="1" applyFont="1" applyFill="1" applyBorder="1" applyAlignment="1" applyProtection="1">
      <alignment horizontal="center" vertical="center"/>
      <protection/>
    </xf>
    <xf numFmtId="189" fontId="2" fillId="37" borderId="38" xfId="61" applyNumberFormat="1" applyFont="1" applyFill="1" applyBorder="1" applyAlignment="1" applyProtection="1">
      <alignment horizontal="center" vertical="center"/>
      <protection/>
    </xf>
    <xf numFmtId="184" fontId="0" fillId="37" borderId="37" xfId="71" applyNumberFormat="1" applyFont="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indent="1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left" wrapText="1"/>
      <protection/>
    </xf>
    <xf numFmtId="189" fontId="0" fillId="36" borderId="33" xfId="61" applyNumberFormat="1" applyFont="1" applyFill="1" applyBorder="1" applyAlignment="1" applyProtection="1">
      <alignment horizontal="center" vertical="center"/>
      <protection locked="0"/>
    </xf>
    <xf numFmtId="0" fontId="0" fillId="0" borderId="48" xfId="61" applyFont="1" applyBorder="1" applyAlignment="1" applyProtection="1">
      <alignment horizontal="left" wrapText="1" indent="1"/>
      <protection/>
    </xf>
    <xf numFmtId="0" fontId="2" fillId="0" borderId="48" xfId="61" applyFont="1" applyBorder="1" applyAlignment="1" applyProtection="1">
      <alignment horizontal="left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7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48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2" fillId="0" borderId="64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65" xfId="6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0" fontId="0" fillId="0" borderId="48" xfId="61" applyFont="1" applyBorder="1" applyAlignment="1" applyProtection="1">
      <alignment horizontal="left" indent="2"/>
      <protection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48" xfId="61" applyFont="1" applyBorder="1" applyAlignment="1" applyProtection="1">
      <alignment horizontal="left" wrapText="1" indent="1"/>
      <protection/>
    </xf>
    <xf numFmtId="1" fontId="2" fillId="37" borderId="33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34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0" fontId="2" fillId="0" borderId="49" xfId="61" applyFont="1" applyBorder="1" applyAlignment="1" applyProtection="1">
      <alignment horizontal="left" wrapText="1" indent="1"/>
      <protection/>
    </xf>
    <xf numFmtId="0" fontId="0" fillId="0" borderId="51" xfId="61" applyNumberFormat="1" applyFont="1" applyBorder="1" applyAlignment="1" applyProtection="1">
      <alignment horizontal="center" wrapText="1"/>
      <protection/>
    </xf>
    <xf numFmtId="1" fontId="2" fillId="37" borderId="35" xfId="61" applyNumberFormat="1" applyFont="1" applyFill="1" applyBorder="1" applyAlignment="1" applyProtection="1">
      <alignment horizontal="center" vertical="center"/>
      <protection/>
    </xf>
    <xf numFmtId="1" fontId="2" fillId="37" borderId="36" xfId="61" applyNumberFormat="1" applyFont="1" applyFill="1" applyBorder="1" applyAlignment="1" applyProtection="1">
      <alignment horizontal="center" vertical="center"/>
      <protection/>
    </xf>
    <xf numFmtId="1" fontId="2" fillId="37" borderId="37" xfId="61" applyNumberFormat="1" applyFont="1" applyFill="1" applyBorder="1" applyAlignment="1" applyProtection="1">
      <alignment horizontal="center" vertical="center"/>
      <protection/>
    </xf>
    <xf numFmtId="1" fontId="2" fillId="37" borderId="38" xfId="61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2" fillId="0" borderId="62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189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16" xfId="61" applyNumberFormat="1" applyBorder="1" applyAlignment="1" applyProtection="1">
      <alignment horizontal="center"/>
      <protection/>
    </xf>
    <xf numFmtId="0" fontId="0" fillId="0" borderId="25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184" fontId="2" fillId="37" borderId="34" xfId="71" applyNumberFormat="1" applyFont="1" applyFill="1" applyBorder="1" applyAlignment="1" applyProtection="1">
      <alignment horizontal="center" vertical="center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184" fontId="2" fillId="37" borderId="37" xfId="71" applyNumberFormat="1" applyFont="1" applyFill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/>
      <protection/>
    </xf>
    <xf numFmtId="189" fontId="0" fillId="37" borderId="12" xfId="61" applyNumberFormat="1" applyFill="1" applyBorder="1" applyAlignment="1" applyProtection="1">
      <alignment horizontal="center" vertical="center"/>
      <protection/>
    </xf>
    <xf numFmtId="184" fontId="0" fillId="37" borderId="68" xfId="71" applyNumberFormat="1" applyFon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189" fontId="0" fillId="0" borderId="35" xfId="61" applyNumberFormat="1" applyFont="1" applyFill="1" applyBorder="1" applyAlignment="1" applyProtection="1">
      <alignment horizontal="center" vertical="center"/>
      <protection/>
    </xf>
    <xf numFmtId="189" fontId="0" fillId="0" borderId="38" xfId="61" applyNumberFormat="1" applyFont="1" applyFill="1" applyBorder="1" applyAlignment="1" applyProtection="1">
      <alignment horizontal="center" vertical="center"/>
      <protection/>
    </xf>
    <xf numFmtId="189" fontId="0" fillId="0" borderId="37" xfId="61" applyNumberFormat="1" applyFont="1" applyFill="1" applyBorder="1" applyAlignment="1" applyProtection="1">
      <alignment horizontal="center" vertical="center"/>
      <protection/>
    </xf>
    <xf numFmtId="189" fontId="0" fillId="0" borderId="36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2" fillId="0" borderId="0" xfId="0" applyFont="1" applyAlignment="1">
      <alignment horizontal="center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89" fontId="11" fillId="0" borderId="15" xfId="68" applyNumberFormat="1" applyFont="1" applyBorder="1" applyAlignment="1" applyProtection="1">
      <alignment horizontal="center" vertical="center" wrapText="1"/>
      <protection/>
    </xf>
    <xf numFmtId="189" fontId="11" fillId="0" borderId="24" xfId="68" applyNumberFormat="1" applyFont="1" applyBorder="1" applyAlignment="1" applyProtection="1">
      <alignment horizontal="center" vertical="center" wrapText="1"/>
      <protection/>
    </xf>
    <xf numFmtId="189" fontId="11" fillId="0" borderId="19" xfId="68" applyNumberFormat="1" applyFont="1" applyBorder="1" applyAlignment="1" applyProtection="1">
      <alignment horizontal="center" vertical="center" wrapText="1"/>
      <protection/>
    </xf>
    <xf numFmtId="189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1" fontId="12" fillId="0" borderId="85" xfId="64" applyNumberFormat="1" applyFont="1" applyBorder="1" applyAlignment="1" applyProtection="1">
      <alignment horizontal="center"/>
      <protection/>
    </xf>
    <xf numFmtId="1" fontId="12" fillId="0" borderId="75" xfId="64" applyNumberFormat="1" applyFont="1" applyBorder="1" applyAlignment="1" applyProtection="1">
      <alignment horizontal="center"/>
      <protection/>
    </xf>
    <xf numFmtId="1" fontId="12" fillId="0" borderId="85" xfId="64" applyNumberFormat="1" applyFont="1" applyBorder="1" applyAlignment="1" applyProtection="1" quotePrefix="1">
      <alignment horizontal="center"/>
      <protection/>
    </xf>
    <xf numFmtId="0" fontId="30" fillId="36" borderId="52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4" xfId="61" applyNumberFormat="1" applyFont="1" applyFill="1" applyBorder="1" applyAlignment="1" applyProtection="1">
      <alignment horizontal="left" vertical="center"/>
      <protection locked="0"/>
    </xf>
    <xf numFmtId="0" fontId="30" fillId="36" borderId="64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65" xfId="61" applyNumberFormat="1" applyFont="1" applyFill="1" applyBorder="1" applyAlignment="1" applyProtection="1">
      <alignment horizontal="left" vertical="center"/>
      <protection locked="0"/>
    </xf>
    <xf numFmtId="0" fontId="8" fillId="0" borderId="52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4" xfId="61" applyFont="1" applyBorder="1" applyAlignment="1" applyProtection="1">
      <alignment horizontal="center" vertical="center" wrapText="1"/>
      <protection/>
    </xf>
    <xf numFmtId="0" fontId="2" fillId="0" borderId="52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4" xfId="61" applyFont="1" applyFill="1" applyBorder="1" applyAlignment="1" applyProtection="1">
      <alignment horizontal="center" vertical="center"/>
      <protection/>
    </xf>
    <xf numFmtId="0" fontId="10" fillId="0" borderId="66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66" xfId="67" applyFont="1" applyFill="1" applyBorder="1" applyAlignment="1" applyProtection="1">
      <alignment horizontal="left" vertical="center"/>
      <protection/>
    </xf>
    <xf numFmtId="0" fontId="10" fillId="0" borderId="48" xfId="67" applyFont="1" applyFill="1" applyBorder="1" applyAlignment="1" applyProtection="1">
      <alignment horizontal="left" vertical="center"/>
      <protection/>
    </xf>
    <xf numFmtId="0" fontId="10" fillId="0" borderId="33" xfId="63" applyFont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10" fillId="0" borderId="60" xfId="63" applyFont="1" applyBorder="1" applyAlignment="1" applyProtection="1">
      <alignment horizontal="left" vertical="center" wrapText="1"/>
      <protection/>
    </xf>
    <xf numFmtId="0" fontId="10" fillId="0" borderId="33" xfId="63" applyFont="1" applyBorder="1" applyAlignment="1" applyProtection="1">
      <alignment horizontal="left" vertical="center" wrapText="1"/>
      <protection/>
    </xf>
    <xf numFmtId="0" fontId="10" fillId="0" borderId="66" xfId="63" applyFont="1" applyBorder="1" applyAlignment="1" applyProtection="1">
      <alignment horizontal="left" vertical="center"/>
      <protection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0" fillId="0" borderId="74" xfId="0" applyFont="1" applyBorder="1" applyAlignment="1" applyProtection="1">
      <alignment horizontal="left" vertical="center" wrapText="1"/>
      <protection/>
    </xf>
    <xf numFmtId="0" fontId="10" fillId="0" borderId="85" xfId="0" applyFont="1" applyBorder="1" applyAlignment="1" applyProtection="1">
      <alignment horizontal="left" vertical="center" wrapText="1"/>
      <protection/>
    </xf>
    <xf numFmtId="0" fontId="10" fillId="0" borderId="75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5" fillId="0" borderId="85" xfId="0" applyFont="1" applyBorder="1" applyAlignment="1" applyProtection="1">
      <alignment horizontal="left" vertical="center" wrapText="1"/>
      <protection/>
    </xf>
    <xf numFmtId="0" fontId="45" fillId="0" borderId="57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67" xfId="0" applyFont="1" applyFill="1" applyBorder="1" applyAlignment="1" applyProtection="1">
      <alignment horizontal="left"/>
      <protection/>
    </xf>
    <xf numFmtId="0" fontId="45" fillId="0" borderId="4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202" fontId="5" fillId="24" borderId="84" xfId="0" applyNumberFormat="1" applyFont="1" applyFill="1" applyBorder="1" applyAlignment="1">
      <alignment horizontal="right" vertical="center"/>
    </xf>
    <xf numFmtId="202" fontId="5" fillId="24" borderId="40" xfId="0" applyNumberFormat="1" applyFont="1" applyFill="1" applyBorder="1" applyAlignment="1">
      <alignment horizontal="right" vertical="center"/>
    </xf>
    <xf numFmtId="202" fontId="5" fillId="24" borderId="82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45" fillId="0" borderId="66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8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34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34" xfId="0" applyFont="1" applyFill="1" applyBorder="1" applyAlignment="1" applyProtection="1">
      <alignment horizontal="left" vertical="center"/>
      <protection/>
    </xf>
    <xf numFmtId="0" fontId="45" fillId="0" borderId="66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3" xfId="0" applyBorder="1" applyAlignment="1">
      <alignment horizontal="left"/>
    </xf>
    <xf numFmtId="202" fontId="16" fillId="36" borderId="66" xfId="0" applyNumberFormat="1" applyFont="1" applyFill="1" applyBorder="1" applyAlignment="1" applyProtection="1">
      <alignment horizontal="right" vertical="center"/>
      <protection locked="0"/>
    </xf>
    <xf numFmtId="202" fontId="16" fillId="36" borderId="48" xfId="0" applyNumberFormat="1" applyFont="1" applyFill="1" applyBorder="1" applyAlignment="1" applyProtection="1">
      <alignment horizontal="right" vertical="center"/>
      <protection locked="0"/>
    </xf>
    <xf numFmtId="202" fontId="16" fillId="36" borderId="60" xfId="0" applyNumberFormat="1" applyFont="1" applyFill="1" applyBorder="1" applyAlignment="1" applyProtection="1">
      <alignment horizontal="right" vertical="center"/>
      <protection locked="0"/>
    </xf>
    <xf numFmtId="202" fontId="16" fillId="36" borderId="45" xfId="0" applyNumberFormat="1" applyFont="1" applyFill="1" applyBorder="1" applyAlignment="1" applyProtection="1">
      <alignment horizontal="right" vertical="center"/>
      <protection locked="0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8" xfId="0" applyFont="1" applyFill="1" applyBorder="1" applyAlignment="1" applyProtection="1">
      <alignment horizontal="left" vertical="center"/>
      <protection/>
    </xf>
    <xf numFmtId="0" fontId="12" fillId="5" borderId="74" xfId="0" applyFont="1" applyFill="1" applyBorder="1" applyAlignment="1" applyProtection="1">
      <alignment horizontal="center"/>
      <protection/>
    </xf>
    <xf numFmtId="0" fontId="12" fillId="5" borderId="85" xfId="0" applyFont="1" applyFill="1" applyBorder="1" applyAlignment="1" applyProtection="1">
      <alignment horizontal="center"/>
      <protection/>
    </xf>
    <xf numFmtId="0" fontId="12" fillId="5" borderId="75" xfId="0" applyFont="1" applyFill="1" applyBorder="1" applyAlignment="1" applyProtection="1">
      <alignment horizontal="center"/>
      <protection/>
    </xf>
    <xf numFmtId="0" fontId="12" fillId="4" borderId="74" xfId="0" applyFont="1" applyFill="1" applyBorder="1" applyAlignment="1" applyProtection="1">
      <alignment horizontal="center"/>
      <protection/>
    </xf>
    <xf numFmtId="0" fontId="0" fillId="0" borderId="8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2" fillId="31" borderId="74" xfId="0" applyFont="1" applyFill="1" applyBorder="1" applyAlignment="1" applyProtection="1">
      <alignment horizontal="center"/>
      <protection/>
    </xf>
    <xf numFmtId="0" fontId="12" fillId="31" borderId="85" xfId="0" applyFont="1" applyFill="1" applyBorder="1" applyAlignment="1" applyProtection="1">
      <alignment horizontal="center"/>
      <protection/>
    </xf>
    <xf numFmtId="0" fontId="12" fillId="31" borderId="7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202" fontId="5" fillId="24" borderId="39" xfId="0" applyNumberFormat="1" applyFont="1" applyFill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C21" sqref="C21"/>
    </sheetView>
  </sheetViews>
  <sheetFormatPr defaultColWidth="8.8515625" defaultRowHeight="12.75"/>
  <cols>
    <col min="1" max="1" width="44.00390625" style="0" customWidth="1"/>
    <col min="2" max="8" width="13.8515625" style="0" customWidth="1"/>
  </cols>
  <sheetData>
    <row r="1" spans="1:7" s="3" customFormat="1" ht="12.75">
      <c r="A1" s="10" t="s">
        <v>189</v>
      </c>
      <c r="G1" s="389" t="s">
        <v>776</v>
      </c>
    </row>
    <row r="3" spans="1:6" ht="12.75" customHeight="1">
      <c r="A3" s="299" t="s">
        <v>226</v>
      </c>
      <c r="B3" s="1421" t="s">
        <v>67</v>
      </c>
      <c r="C3" s="1421"/>
      <c r="D3" s="1421"/>
      <c r="E3" s="1421"/>
      <c r="F3" s="1422"/>
    </row>
    <row r="4" spans="1:6" ht="12.75">
      <c r="A4" s="304"/>
      <c r="B4" s="300" t="s">
        <v>751</v>
      </c>
      <c r="C4" s="1230" t="s">
        <v>27</v>
      </c>
      <c r="D4" s="300" t="s">
        <v>750</v>
      </c>
      <c r="E4" s="300" t="s">
        <v>756</v>
      </c>
      <c r="F4" s="307" t="s">
        <v>190</v>
      </c>
    </row>
    <row r="5" spans="1:6" ht="12.75">
      <c r="A5" s="1231" t="s">
        <v>236</v>
      </c>
      <c r="B5" s="341">
        <f>'WPD - Final Allocation'!J47</f>
        <v>0.47381386580052354</v>
      </c>
      <c r="C5" s="342">
        <f>'WPD - Final Allocation'!I47</f>
        <v>0.092665652569101</v>
      </c>
      <c r="D5" s="342">
        <f>'WPD - Final Allocation'!H47</f>
        <v>0.24325140107870918</v>
      </c>
      <c r="E5" s="342">
        <f>'WPD - Final Allocation'!F47</f>
        <v>0.19026908055166622</v>
      </c>
      <c r="F5" s="1232"/>
    </row>
    <row r="6" spans="1:6" ht="12.75">
      <c r="A6" s="1231" t="s">
        <v>191</v>
      </c>
      <c r="B6" s="343">
        <f>'WPD - Final Allocation'!J46</f>
        <v>0.26793222162201646</v>
      </c>
      <c r="C6" s="344">
        <f>'WPD - Final Allocation'!I46</f>
        <v>0.07934970205767705</v>
      </c>
      <c r="D6" s="344">
        <f>'WPD - Final Allocation'!H46</f>
        <v>0.2995269514953759</v>
      </c>
      <c r="E6" s="344">
        <f>'WPD - Final Allocation'!F46</f>
        <v>0.35319112482493065</v>
      </c>
      <c r="F6" s="1233"/>
    </row>
    <row r="7" spans="1:6" ht="12.75">
      <c r="A7" s="1234" t="s">
        <v>66</v>
      </c>
      <c r="B7" s="345">
        <f>'WPD - Final Allocation'!J45</f>
        <v>0.26793222162201646</v>
      </c>
      <c r="C7" s="346">
        <f>'WPD - Final Allocation'!I45</f>
        <v>0.07934970205767705</v>
      </c>
      <c r="D7" s="346">
        <f>'WPD - Final Allocation'!H45</f>
        <v>0.2995269514953759</v>
      </c>
      <c r="E7" s="346">
        <f>'WPD - Final Allocation'!F45</f>
        <v>0.35319112482493065</v>
      </c>
      <c r="F7" s="1235"/>
    </row>
    <row r="8" spans="1:6" ht="12.75">
      <c r="A8" s="305" t="s">
        <v>72</v>
      </c>
      <c r="B8" s="347">
        <f>'WPD - Final Allocation'!O50</f>
        <v>0.3402614325900464</v>
      </c>
      <c r="C8" s="348">
        <f>'WPD - Final Allocation'!N50</f>
        <v>0.08402778881778451</v>
      </c>
      <c r="D8" s="348">
        <f>'WPD - Final Allocation'!M50</f>
        <v>0.27975653352212554</v>
      </c>
      <c r="E8" s="348">
        <f>'WPD - Final Allocation'!L50</f>
        <v>0.2959542450700436</v>
      </c>
      <c r="F8" s="349"/>
    </row>
    <row r="9" spans="1:6" ht="38.25">
      <c r="A9" s="306" t="s">
        <v>145</v>
      </c>
      <c r="B9" s="340">
        <f>'WPD - Final Allocation'!P82</f>
        <v>0.37710735531871076</v>
      </c>
      <c r="C9" s="350">
        <f>'WPD - Final Allocation'!O82</f>
        <v>0.09312691412938233</v>
      </c>
      <c r="D9" s="350">
        <f>'WPD - Final Allocation'!N82</f>
        <v>0.23702324965269697</v>
      </c>
      <c r="E9" s="350">
        <f>'WPD - Final Allocation'!M82</f>
        <v>0.24256947362767936</v>
      </c>
      <c r="F9" s="351">
        <f>'WPD - Final Allocation'!Q82</f>
        <v>0.05017300727153057</v>
      </c>
    </row>
    <row r="10" spans="1:6" ht="12.75">
      <c r="A10" s="306" t="s">
        <v>69</v>
      </c>
      <c r="B10" s="373">
        <f>'Calc - WPD Opex Allocation'!AB48</f>
        <v>0.646051954359699</v>
      </c>
      <c r="C10" s="374">
        <f>'Calc - WPD Opex Allocation'!AA48</f>
        <v>0.7704169286390466</v>
      </c>
      <c r="D10" s="374">
        <f>'Calc - WPD Opex Allocation'!Z48</f>
        <v>0.7432239466324878</v>
      </c>
      <c r="E10" s="374">
        <f>'Calc - WPD Opex Allocation'!Y48</f>
        <v>0.7494615372767335</v>
      </c>
      <c r="F10" s="375" t="s">
        <v>230</v>
      </c>
    </row>
    <row r="12" spans="2:8" ht="12" customHeight="1">
      <c r="B12" s="300" t="s">
        <v>751</v>
      </c>
      <c r="C12" s="300" t="s">
        <v>25</v>
      </c>
      <c r="D12" s="300" t="s">
        <v>750</v>
      </c>
      <c r="E12" s="300" t="s">
        <v>760</v>
      </c>
      <c r="F12" s="300" t="s">
        <v>756</v>
      </c>
      <c r="G12" s="300" t="s">
        <v>761</v>
      </c>
      <c r="H12" s="300" t="s">
        <v>754</v>
      </c>
    </row>
    <row r="13" spans="1:8" ht="12.75">
      <c r="A13" s="1236" t="s">
        <v>762</v>
      </c>
      <c r="B13" s="340">
        <f aca="true" t="shared" si="0" ref="B13:D14">B9</f>
        <v>0.37710735531871076</v>
      </c>
      <c r="C13" s="340">
        <f t="shared" si="0"/>
        <v>0.09312691412938233</v>
      </c>
      <c r="D13" s="340">
        <f t="shared" si="0"/>
        <v>0.23702324965269697</v>
      </c>
      <c r="E13" s="340">
        <f>E9*'Calc-MEAV'!$N28</f>
        <v>0.04699317790494334</v>
      </c>
      <c r="F13" s="340">
        <f>E9*'Calc-MEAV'!$N29</f>
        <v>0.07178893775169856</v>
      </c>
      <c r="G13" s="340">
        <f>E9*'Calc-MEAV'!$N30</f>
        <v>0.029249114093902108</v>
      </c>
      <c r="H13" s="340">
        <f>E9*'Calc-MEAV'!$N31</f>
        <v>0.09453824387713536</v>
      </c>
    </row>
    <row r="14" spans="1:8" ht="12.75">
      <c r="A14" s="1236" t="s">
        <v>69</v>
      </c>
      <c r="B14" s="340">
        <f t="shared" si="0"/>
        <v>0.646051954359699</v>
      </c>
      <c r="C14" s="340">
        <f t="shared" si="0"/>
        <v>0.7704169286390466</v>
      </c>
      <c r="D14" s="340">
        <f t="shared" si="0"/>
        <v>0.7432239466324878</v>
      </c>
      <c r="E14" s="340">
        <f>E10</f>
        <v>0.7494615372767335</v>
      </c>
      <c r="F14" s="340">
        <f>E10</f>
        <v>0.7494615372767335</v>
      </c>
      <c r="G14" s="340">
        <f>E10</f>
        <v>0.7494615372767335</v>
      </c>
      <c r="H14" s="340">
        <f>E10</f>
        <v>0.7494615372767335</v>
      </c>
    </row>
    <row r="16" spans="1:8" ht="12.75">
      <c r="A16" s="385"/>
      <c r="B16" s="300" t="s">
        <v>751</v>
      </c>
      <c r="C16" s="300" t="s">
        <v>750</v>
      </c>
      <c r="D16" s="1230" t="s">
        <v>52</v>
      </c>
      <c r="E16" s="1230" t="s">
        <v>754</v>
      </c>
      <c r="G16" s="385"/>
      <c r="H16" s="385"/>
    </row>
    <row r="17" spans="1:8" ht="12.75">
      <c r="A17" s="385" t="s">
        <v>763</v>
      </c>
      <c r="B17" s="1307">
        <v>0.1145</v>
      </c>
      <c r="C17" s="340">
        <v>0.54</v>
      </c>
      <c r="D17" s="340">
        <v>1</v>
      </c>
      <c r="E17" s="340">
        <v>1</v>
      </c>
      <c r="G17" s="385"/>
      <c r="H17" s="385"/>
    </row>
    <row r="19" spans="1:2" ht="12.75">
      <c r="A19" s="385" t="s">
        <v>731</v>
      </c>
      <c r="B19" s="1230" t="s">
        <v>732</v>
      </c>
    </row>
    <row r="20" ht="12.75">
      <c r="B20" s="385" t="b">
        <v>1</v>
      </c>
    </row>
    <row r="21" ht="12.75">
      <c r="A21" s="385" t="s">
        <v>764</v>
      </c>
    </row>
    <row r="23" spans="2:13" ht="12.75">
      <c r="B23" s="1420" t="s">
        <v>785</v>
      </c>
      <c r="C23" s="1420"/>
      <c r="D23" s="1420"/>
      <c r="E23" s="1420"/>
      <c r="F23" s="1420" t="s">
        <v>790</v>
      </c>
      <c r="G23" s="1420"/>
      <c r="H23" s="1420"/>
      <c r="I23" s="1420"/>
      <c r="J23" s="1420" t="s">
        <v>791</v>
      </c>
      <c r="K23" s="1420"/>
      <c r="L23" s="1420"/>
      <c r="M23" s="1420"/>
    </row>
    <row r="24" spans="1:13" ht="63.75">
      <c r="A24" s="1229" t="s">
        <v>786</v>
      </c>
      <c r="B24" s="1229" t="s">
        <v>733</v>
      </c>
      <c r="C24" s="1229" t="s">
        <v>734</v>
      </c>
      <c r="D24" s="1229" t="s">
        <v>735</v>
      </c>
      <c r="E24" s="1229" t="s">
        <v>787</v>
      </c>
      <c r="F24" s="1229" t="s">
        <v>760</v>
      </c>
      <c r="G24" s="1229" t="s">
        <v>756</v>
      </c>
      <c r="H24" s="1229" t="s">
        <v>761</v>
      </c>
      <c r="I24" s="1229" t="s">
        <v>754</v>
      </c>
      <c r="J24" s="1229" t="s">
        <v>760</v>
      </c>
      <c r="K24" s="1229" t="s">
        <v>756</v>
      </c>
      <c r="L24" s="1229" t="s">
        <v>761</v>
      </c>
      <c r="M24" s="1229" t="s">
        <v>754</v>
      </c>
    </row>
    <row r="25" spans="1:13" ht="12" customHeight="1">
      <c r="A25" s="1311" t="s">
        <v>788</v>
      </c>
      <c r="B25" s="1308">
        <f>IF((SUM(B$13:H$13)-SUMPRODUCT(F25:I25,E$13:H$13))/(1-SUMPRODUCT(J25:M25,E$13:H$13))&gt;1,1,(SUM(B$13:H$13)-SUMPRODUCT(F25:I25,E$13:H$13))/(1-SUMPRODUCT(J25:M25,E$13:H$13)))</f>
        <v>0.9498269927284695</v>
      </c>
      <c r="C25" s="1308">
        <f>IF((SUM(C$13:H$13)-SUMPRODUCT(F25:I25,E$13:H$13))/(1-B$13-SUMPRODUCT(J25:M25,E$13:H$13))&gt;1,1,(SUM(C$13:H$13)-SUMPRODUCT(F25:I25,E$13:H$13))/(1-B$13-SUMPRODUCT(J25:M25,E$13:H$13)))</f>
        <v>0.9194515977994856</v>
      </c>
      <c r="D25" s="1308">
        <f>IF((SUM(D$13:H$13)-SUMPRODUCT(F25:I25,E$13:H$13))/(1-SUM(B$13:C$13)-SUMPRODUCT(J25:M25,E$13:H$13))&gt;1,1,(SUM(D$13:H$13)-SUMPRODUCT(F25:I25,E$13:H$13))/(1-SUM(B$13:C$13)-SUMPRODUCT(J25:M25,E$13:H$13)))</f>
        <v>0.9052920859579563</v>
      </c>
      <c r="E25" s="1308">
        <f>IF((SUM(E$13:H$13)-SUMPRODUCT(F25:I25,E$13:H$13))/(1-SUM(B$13:D$13)-SUMPRODUCT(J25:M25,E$13:H$13))&gt;1,1,(SUM(E$13:H$13)-SUMPRODUCT(F25:I25,E$13:H$13))/(1-SUM(B$13:D$13)-SUMPRODUCT(J25:M25,E$13:H$13)))</f>
        <v>0.8286104322221517</v>
      </c>
      <c r="F25" s="1309">
        <v>0</v>
      </c>
      <c r="G25" s="1309">
        <v>0</v>
      </c>
      <c r="H25" s="1309">
        <v>0</v>
      </c>
      <c r="I25" s="1309">
        <v>0</v>
      </c>
      <c r="J25" s="1310">
        <v>0</v>
      </c>
      <c r="K25" s="1310">
        <v>0</v>
      </c>
      <c r="L25" s="1310">
        <v>0</v>
      </c>
      <c r="M25" s="1310">
        <v>0</v>
      </c>
    </row>
    <row r="26" spans="1:13" ht="12.75">
      <c r="A26" s="1311" t="s">
        <v>792</v>
      </c>
      <c r="B26" s="1308">
        <f>IF((SUM(B$13:H$13)-SUMPRODUCT(F26:I26,E$13:H$13))/(1-SUMPRODUCT(J26:M26,E$13:H$13))&gt;1,1,(SUM(B$13:H$13)-SUMPRODUCT(F26:I26,E$13:H$13))/(1-SUMPRODUCT(J26:M26,E$13:H$13)))</f>
        <v>0.8789742151408689</v>
      </c>
      <c r="C26" s="1308">
        <f>IF((SUM(C$13:H$13)-SUMPRODUCT(F26:I26,E$13:H$13))/(1-B$13-SUMPRODUCT(J26:M26,E$13:H$13))&gt;1,1,(SUM(C$13:H$13)-SUMPRODUCT(F26:I26,E$13:H$13))/(1-B$13-SUMPRODUCT(J26:M26,E$13:H$13)))</f>
        <v>0.8057036218158339</v>
      </c>
      <c r="D26" s="1308">
        <f>IF((SUM(D$13:H$13)-SUMPRODUCT(F26:I26,E$13:H$13))/(1-SUM(B$13:C$13)-SUMPRODUCT(J26:M26,E$13:H$13))&gt;1,1,(SUM(D$13:H$13)-SUMPRODUCT(F26:I26,E$13:H$13))/(1-SUM(B$13:C$13)-SUMPRODUCT(J26:M26,E$13:H$13)))</f>
        <v>0.7715484828868656</v>
      </c>
      <c r="E26" s="1308">
        <f>IF((SUM(E$13:H$13)-SUMPRODUCT(F26:I26,E$13:H$13))/(1-SUM(B$13:D$13)-SUMPRODUCT(J26:M26,E$13:H$13))&gt;1,1,(SUM(E$13:H$13)-SUMPRODUCT(F26:I26,E$13:H$13))/(1-SUM(B$13:D$13)-SUMPRODUCT(J26:M26,E$13:H$13)))</f>
        <v>0.5865793564112075</v>
      </c>
      <c r="F26" s="1309">
        <v>0</v>
      </c>
      <c r="G26" s="1309">
        <v>0</v>
      </c>
      <c r="H26" s="1309">
        <v>0</v>
      </c>
      <c r="I26" s="1309">
        <f>IF($B$20,$E$17*$H$14,1)</f>
        <v>0.7494615372767335</v>
      </c>
      <c r="J26" s="1310">
        <v>0</v>
      </c>
      <c r="K26" s="1310">
        <v>0</v>
      </c>
      <c r="L26" s="1310">
        <v>0</v>
      </c>
      <c r="M26" s="1310">
        <v>0</v>
      </c>
    </row>
    <row r="27" spans="1:13" ht="12.75">
      <c r="A27" s="1311" t="s">
        <v>793</v>
      </c>
      <c r="B27" s="1308">
        <f>IF((SUM(B$13:H$13)-SUMPRODUCT(F27:I27,E$13:H$13))/(1-SUMPRODUCT(J27:M27,E$13:H$13))&gt;1,1,(SUM(B$13:H$13)-SUMPRODUCT(F27:I27,E$13:H$13))/(1-SUMPRODUCT(J27:M27,E$13:H$13)))</f>
        <v>0.826039634757432</v>
      </c>
      <c r="C27" s="1308">
        <f>IF((SUM(C$13:H$13)-SUMPRODUCT(F27:I27,E$13:H$13))/(1-B$13-SUMPRODUCT(J27:M27,E$13:H$13))&gt;1,1,(SUM(C$13:H$13)-SUMPRODUCT(F27:I27,E$13:H$13))/(1-B$13-SUMPRODUCT(J27:M27,E$13:H$13)))</f>
        <v>0.7207217540165737</v>
      </c>
      <c r="D27" s="1308">
        <f>IF((SUM(D$13:H$13)-SUMPRODUCT(F27:I27,E$13:H$13))/(1-SUM(B$13:C$13)-SUMPRODUCT(J27:M27,E$13:H$13))&gt;1,1,(SUM(D$13:H$13)-SUMPRODUCT(F27:I27,E$13:H$13))/(1-SUM(B$13:C$13)-SUMPRODUCT(J27:M27,E$13:H$13)))</f>
        <v>0.671627749380208</v>
      </c>
      <c r="E27" s="1308">
        <f>IF((SUM(E$13:H$13)-SUMPRODUCT(F27:I27,E$13:H$13))/(1-SUM(B$13:D$13)-SUMPRODUCT(J27:M27,E$13:H$13))&gt;1,1,(SUM(E$13:H$13)-SUMPRODUCT(F27:I27,E$13:H$13))/(1-SUM(B$13:D$13)-SUMPRODUCT(J27:M27,E$13:H$13)))</f>
        <v>0.405756333319926</v>
      </c>
      <c r="F27" s="1309">
        <v>0</v>
      </c>
      <c r="G27" s="1309">
        <v>0</v>
      </c>
      <c r="H27" s="1309">
        <v>1</v>
      </c>
      <c r="I27" s="1309">
        <v>1</v>
      </c>
      <c r="J27" s="1310">
        <v>0</v>
      </c>
      <c r="K27" s="1310">
        <v>0</v>
      </c>
      <c r="L27" s="1310">
        <v>0</v>
      </c>
      <c r="M27" s="1310">
        <v>0</v>
      </c>
    </row>
    <row r="28" spans="1:13" ht="12.75">
      <c r="A28" s="1311" t="s">
        <v>794</v>
      </c>
      <c r="B28" s="1308">
        <f>IF((SUM(B$13:H$13)-SUMPRODUCT(F28:I28,E$13:H$13))/(1-SUMPRODUCT(J28:M28,E$13:H$13))&gt;1,1,(SUM(B$13:H$13)-SUMPRODUCT(F28:I28,E$13:H$13))/(1-SUMPRODUCT(J28:M28,E$13:H$13)))</f>
        <v>0.7722365871105803</v>
      </c>
      <c r="C28" s="1308">
        <f>IF((SUM(C$13:H$13)-SUMPRODUCT(F28:I28,E$13:H$13))/(1-B$13-SUMPRODUCT(J28:M28,E$13:H$13))&gt;1,1,(SUM(C$13:H$13)-SUMPRODUCT(F28:I28,E$13:H$13))/(1-B$13-SUMPRODUCT(J28:M28,E$13:H$13)))</f>
        <v>0.63434563751197</v>
      </c>
      <c r="D28" s="1308">
        <f>IF((SUM(D$13:H$13)-SUMPRODUCT(F28:I28,E$13:H$13))/(1-SUM(B$13:C$13)-SUMPRODUCT(J28:M28,E$13:H$13))&gt;1,1,(SUM(D$13:H$13)-SUMPRODUCT(F28:I28,E$13:H$13))/(1-SUM(B$13:C$13)-SUMPRODUCT(J28:M28,E$13:H$13)))</f>
        <v>0.5700676737769785</v>
      </c>
      <c r="E28" s="1308">
        <f>IF((SUM(E$13:H$13)-SUMPRODUCT(F28:I28,E$13:H$13))/(1-SUM(B$13:D$13)-SUMPRODUCT(J28:M28,E$13:H$13))&gt;1,1,(SUM(E$13:H$13)-SUMPRODUCT(F28:I28,E$13:H$13))/(1-SUM(B$13:D$13)-SUMPRODUCT(J28:M28,E$13:H$13)))</f>
        <v>0.2219666507238565</v>
      </c>
      <c r="F28" s="1309">
        <v>0</v>
      </c>
      <c r="G28" s="1309">
        <f>IF($B$20,$D$17*$F$14,1)</f>
        <v>0.7494615372767335</v>
      </c>
      <c r="H28" s="1309">
        <v>1</v>
      </c>
      <c r="I28" s="1309">
        <v>1</v>
      </c>
      <c r="J28" s="1310">
        <v>0</v>
      </c>
      <c r="K28" s="1310">
        <v>0</v>
      </c>
      <c r="L28" s="1310">
        <v>0</v>
      </c>
      <c r="M28" s="1310">
        <v>0</v>
      </c>
    </row>
    <row r="29" spans="1:13" ht="12.75">
      <c r="A29" s="1311" t="s">
        <v>795</v>
      </c>
      <c r="B29" s="1308">
        <f>IF((SUM(B$13:H$13)-SUMPRODUCT(F29:I29,E$13:H$13))/(1-SUMPRODUCT(J29:M29,E$13:H$13))&gt;1,1,(SUM(B$13:H$13)-SUMPRODUCT(F29:I29,E$13:H$13))/(1-SUMPRODUCT(J29:M29,E$13:H$13)))</f>
        <v>0.7072575191007902</v>
      </c>
      <c r="C29" s="1308">
        <f>IF((SUM(C$13:H$13)-SUMPRODUCT(F29:I29,E$13:H$13))/(1-B$13-SUMPRODUCT(J29:M29,E$13:H$13))&gt;1,1,(SUM(C$13:H$13)-SUMPRODUCT(F29:I29,E$13:H$13))/(1-B$13-SUMPRODUCT(J29:M29,E$13:H$13)))</f>
        <v>0.5300273917201329</v>
      </c>
      <c r="D29" s="1308">
        <f>IF((SUM(D$13:H$13)-SUMPRODUCT(F29:I29,E$13:H$13))/(1-SUM(B$13:C$13)-SUMPRODUCT(J29:M29,E$13:H$13))&gt;1,1,(SUM(D$13:H$13)-SUMPRODUCT(F29:I29,E$13:H$13))/(1-SUM(B$13:C$13)-SUMPRODUCT(J29:M29,E$13:H$13)))</f>
        <v>0.4474114424233662</v>
      </c>
      <c r="E29" s="1308">
        <f>IF((SUM(E$13:H$13)-SUMPRODUCT(F29:I29,E$13:H$13))/(1-SUM(B$13:D$13)-SUMPRODUCT(J29:M29,E$13:H$13))&gt;1,1,(SUM(E$13:H$13)-SUMPRODUCT(F29:I29,E$13:H$13))/(1-SUM(B$13:D$13)-SUMPRODUCT(J29:M29,E$13:H$13)))</f>
        <v>0</v>
      </c>
      <c r="F29" s="1309">
        <v>1</v>
      </c>
      <c r="G29" s="1309">
        <v>1</v>
      </c>
      <c r="H29" s="1309">
        <v>1</v>
      </c>
      <c r="I29" s="1309">
        <v>1</v>
      </c>
      <c r="J29" s="1310">
        <v>0</v>
      </c>
      <c r="K29" s="1310">
        <v>0</v>
      </c>
      <c r="L29" s="1310">
        <v>0</v>
      </c>
      <c r="M29" s="1310">
        <v>0</v>
      </c>
    </row>
    <row r="30" spans="1:13" ht="12.75">
      <c r="A30" s="1229" t="s">
        <v>789</v>
      </c>
      <c r="B30" s="1308"/>
      <c r="C30" s="1308"/>
      <c r="D30" s="1308"/>
      <c r="E30" s="1308"/>
      <c r="F30" s="1309"/>
      <c r="G30" s="1309"/>
      <c r="H30" s="1309"/>
      <c r="I30" s="1309"/>
      <c r="J30" s="1310"/>
      <c r="K30" s="1310"/>
      <c r="L30" s="1310"/>
      <c r="M30" s="1310"/>
    </row>
    <row r="31" spans="1:13" ht="12.75">
      <c r="A31" s="1229" t="s">
        <v>789</v>
      </c>
      <c r="B31" s="1308"/>
      <c r="C31" s="1308"/>
      <c r="D31" s="1308"/>
      <c r="E31" s="1308"/>
      <c r="F31" s="1309"/>
      <c r="G31" s="1309"/>
      <c r="H31" s="1309"/>
      <c r="I31" s="1309"/>
      <c r="J31" s="1310"/>
      <c r="K31" s="1310"/>
      <c r="L31" s="1310"/>
      <c r="M31" s="1310"/>
    </row>
    <row r="32" spans="1:13" ht="12.75">
      <c r="A32" s="1229" t="s">
        <v>789</v>
      </c>
      <c r="B32" s="1308"/>
      <c r="C32" s="1308"/>
      <c r="D32" s="1308"/>
      <c r="E32" s="1308"/>
      <c r="F32" s="1309"/>
      <c r="G32" s="1309"/>
      <c r="H32" s="1309"/>
      <c r="I32" s="1309"/>
      <c r="J32" s="1310"/>
      <c r="K32" s="1310"/>
      <c r="L32" s="1310"/>
      <c r="M32" s="1310"/>
    </row>
    <row r="33" spans="1:13" ht="12.75">
      <c r="A33" s="1229" t="s">
        <v>789</v>
      </c>
      <c r="B33" s="1308"/>
      <c r="C33" s="1308"/>
      <c r="D33" s="1308"/>
      <c r="E33" s="1308"/>
      <c r="F33" s="1309"/>
      <c r="G33" s="1309"/>
      <c r="H33" s="1309"/>
      <c r="I33" s="1309"/>
      <c r="J33" s="1310"/>
      <c r="K33" s="1310"/>
      <c r="L33" s="1310"/>
      <c r="M33" s="1310"/>
    </row>
    <row r="34" spans="1:13" ht="12.75">
      <c r="A34" s="1229" t="s">
        <v>789</v>
      </c>
      <c r="B34" s="1308"/>
      <c r="C34" s="1308"/>
      <c r="D34" s="1308"/>
      <c r="E34" s="1308"/>
      <c r="F34" s="1309"/>
      <c r="G34" s="1309"/>
      <c r="H34" s="1309"/>
      <c r="I34" s="1309"/>
      <c r="J34" s="1310"/>
      <c r="K34" s="1310"/>
      <c r="L34" s="1310"/>
      <c r="M34" s="1310"/>
    </row>
    <row r="35" spans="1:13" ht="12.75">
      <c r="A35" s="1229" t="s">
        <v>789</v>
      </c>
      <c r="B35" s="1308"/>
      <c r="C35" s="1308"/>
      <c r="D35" s="1308"/>
      <c r="E35" s="1308"/>
      <c r="F35" s="1309"/>
      <c r="G35" s="1309"/>
      <c r="H35" s="1309"/>
      <c r="I35" s="1309"/>
      <c r="J35" s="1310"/>
      <c r="K35" s="1310"/>
      <c r="L35" s="1310"/>
      <c r="M35" s="1310"/>
    </row>
    <row r="36" spans="1:13" ht="12.75">
      <c r="A36" s="1229" t="s">
        <v>789</v>
      </c>
      <c r="B36" s="1308"/>
      <c r="C36" s="1308"/>
      <c r="D36" s="1308"/>
      <c r="E36" s="1308"/>
      <c r="F36" s="1309"/>
      <c r="G36" s="1309"/>
      <c r="H36" s="1309"/>
      <c r="I36" s="1309"/>
      <c r="J36" s="1310"/>
      <c r="K36" s="1310"/>
      <c r="L36" s="1310"/>
      <c r="M36" s="1310"/>
    </row>
    <row r="37" spans="1:13" ht="12.75">
      <c r="A37" s="1229" t="s">
        <v>789</v>
      </c>
      <c r="B37" s="1308"/>
      <c r="C37" s="1308"/>
      <c r="D37" s="1308"/>
      <c r="E37" s="1308"/>
      <c r="F37" s="1309"/>
      <c r="G37" s="1309"/>
      <c r="H37" s="1309"/>
      <c r="I37" s="1309"/>
      <c r="J37" s="1310"/>
      <c r="K37" s="1310"/>
      <c r="L37" s="1310"/>
      <c r="M37" s="1310"/>
    </row>
    <row r="38" spans="1:13" ht="12.75">
      <c r="A38" s="1229" t="s">
        <v>789</v>
      </c>
      <c r="B38" s="1308"/>
      <c r="C38" s="1308"/>
      <c r="D38" s="1308"/>
      <c r="E38" s="1308"/>
      <c r="F38" s="1309"/>
      <c r="G38" s="1309"/>
      <c r="H38" s="1309"/>
      <c r="I38" s="1309"/>
      <c r="J38" s="1310"/>
      <c r="K38" s="1310"/>
      <c r="L38" s="1310"/>
      <c r="M38" s="1310"/>
    </row>
    <row r="39" spans="1:13" ht="12.75">
      <c r="A39" s="1229" t="s">
        <v>789</v>
      </c>
      <c r="B39" s="1308"/>
      <c r="C39" s="1308"/>
      <c r="D39" s="1308"/>
      <c r="E39" s="1308"/>
      <c r="F39" s="1309"/>
      <c r="G39" s="1309"/>
      <c r="H39" s="1309"/>
      <c r="I39" s="1309"/>
      <c r="J39" s="1310"/>
      <c r="K39" s="1310"/>
      <c r="L39" s="1310"/>
      <c r="M39" s="1310"/>
    </row>
    <row r="40" spans="1:13" ht="12.75">
      <c r="A40" s="1229" t="s">
        <v>789</v>
      </c>
      <c r="B40" s="1308"/>
      <c r="C40" s="1308"/>
      <c r="D40" s="1308"/>
      <c r="E40" s="1308"/>
      <c r="F40" s="1309"/>
      <c r="G40" s="1309"/>
      <c r="H40" s="1309"/>
      <c r="I40" s="1309"/>
      <c r="J40" s="1310"/>
      <c r="K40" s="1310"/>
      <c r="L40" s="1310"/>
      <c r="M40" s="1310"/>
    </row>
    <row r="42" spans="1:6" ht="12.75">
      <c r="A42" s="1229" t="s">
        <v>796</v>
      </c>
      <c r="B42" s="1312"/>
      <c r="C42" s="1312"/>
      <c r="D42" s="1312"/>
      <c r="E42" s="1312"/>
      <c r="F42" s="1312"/>
    </row>
    <row r="43" spans="1:6" ht="25.5">
      <c r="A43" s="1229" t="s">
        <v>797</v>
      </c>
      <c r="B43" s="1312"/>
      <c r="C43" s="1312"/>
      <c r="D43" s="1312"/>
      <c r="E43" s="1312"/>
      <c r="F43" s="1312"/>
    </row>
    <row r="44" spans="1:6" ht="25.5">
      <c r="A44" s="1312"/>
      <c r="B44" s="1313" t="s">
        <v>798</v>
      </c>
      <c r="C44" s="1313" t="s">
        <v>799</v>
      </c>
      <c r="D44" s="1313" t="s">
        <v>800</v>
      </c>
      <c r="E44" s="1313" t="s">
        <v>801</v>
      </c>
      <c r="F44" s="1313" t="s">
        <v>802</v>
      </c>
    </row>
    <row r="45" spans="1:6" ht="12.75">
      <c r="A45" s="1229" t="s">
        <v>803</v>
      </c>
      <c r="B45" s="1314"/>
      <c r="C45" s="1315">
        <f>B9*(1-B10*B17)</f>
        <v>0.34921161224135117</v>
      </c>
      <c r="D45" s="1315">
        <f>B9+C9+D9*(1-D10*C17)</f>
        <v>0.6121303873735012</v>
      </c>
      <c r="E45" s="1315">
        <f>(C9+D9*(1-D10*C17))/(1-B9)</f>
        <v>0.3773090500611753</v>
      </c>
      <c r="F45" s="1315">
        <f>D9*(1-D10*C17)/(1-B9-C9)</f>
        <v>0.26784691749989487</v>
      </c>
    </row>
    <row r="46" spans="1:6" ht="12.75">
      <c r="A46" s="1229"/>
      <c r="B46" s="1314"/>
      <c r="C46" s="1315"/>
      <c r="D46" s="1315"/>
      <c r="E46" s="1315"/>
      <c r="F46" s="1315"/>
    </row>
    <row r="47" spans="1:6" ht="12.75">
      <c r="A47" s="1312"/>
      <c r="B47" s="1312"/>
      <c r="C47" s="1312"/>
      <c r="D47" s="1312"/>
      <c r="E47" s="1312"/>
      <c r="F47" s="1312"/>
    </row>
  </sheetData>
  <sheetProtection/>
  <mergeCells count="4">
    <mergeCell ref="J23:M23"/>
    <mergeCell ref="B3:F3"/>
    <mergeCell ref="B23:E23"/>
    <mergeCell ref="F23:I23"/>
  </mergeCells>
  <hyperlinks>
    <hyperlink ref="G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G10" sqref="G10:AE147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5" t="s">
        <v>415</v>
      </c>
      <c r="B1" s="385"/>
      <c r="F1" t="s">
        <v>416</v>
      </c>
      <c r="G1" s="389" t="s">
        <v>776</v>
      </c>
      <c r="I1" t="s">
        <v>416</v>
      </c>
      <c r="K1" t="s">
        <v>416</v>
      </c>
      <c r="L1" t="s">
        <v>416</v>
      </c>
      <c r="N1" t="s">
        <v>416</v>
      </c>
      <c r="P1" t="s">
        <v>416</v>
      </c>
      <c r="Q1" t="s">
        <v>416</v>
      </c>
      <c r="S1" t="s">
        <v>416</v>
      </c>
      <c r="U1" t="s">
        <v>416</v>
      </c>
      <c r="V1" t="s">
        <v>416</v>
      </c>
      <c r="X1" t="s">
        <v>416</v>
      </c>
      <c r="Z1" t="s">
        <v>416</v>
      </c>
      <c r="AA1" t="s">
        <v>416</v>
      </c>
      <c r="AC1" t="s">
        <v>416</v>
      </c>
      <c r="AE1" t="s">
        <v>416</v>
      </c>
    </row>
    <row r="2" spans="1:2" ht="12.75">
      <c r="A2" s="385"/>
      <c r="B2" s="385"/>
    </row>
    <row r="3" spans="1:2" ht="12.75">
      <c r="A3" s="385" t="s">
        <v>293</v>
      </c>
      <c r="B3" s="385"/>
    </row>
    <row r="4" spans="1:2" ht="12.75">
      <c r="A4" s="385"/>
      <c r="B4" s="385"/>
    </row>
    <row r="5" spans="1:2" ht="12.75">
      <c r="A5" s="385"/>
      <c r="B5" s="385" t="s">
        <v>422</v>
      </c>
    </row>
    <row r="6" ht="13.5" thickBot="1"/>
    <row r="7" spans="2:31" ht="13.5" thickBot="1">
      <c r="B7" s="409"/>
      <c r="C7" s="410"/>
      <c r="D7" s="410"/>
      <c r="E7" s="410"/>
      <c r="F7" s="411"/>
      <c r="G7" s="1475" t="s">
        <v>742</v>
      </c>
      <c r="H7" s="1475"/>
      <c r="I7" s="1475"/>
      <c r="J7" s="1475"/>
      <c r="K7" s="1476"/>
      <c r="L7" s="1475" t="s">
        <v>743</v>
      </c>
      <c r="M7" s="1475"/>
      <c r="N7" s="1475"/>
      <c r="O7" s="1475"/>
      <c r="P7" s="1476"/>
      <c r="Q7" s="1477" t="s">
        <v>739</v>
      </c>
      <c r="R7" s="1475"/>
      <c r="S7" s="1475"/>
      <c r="T7" s="1475"/>
      <c r="U7" s="1476"/>
      <c r="V7" s="1477" t="s">
        <v>609</v>
      </c>
      <c r="W7" s="1475"/>
      <c r="X7" s="1475"/>
      <c r="Y7" s="1475"/>
      <c r="Z7" s="1476"/>
      <c r="AA7" s="1477" t="s">
        <v>610</v>
      </c>
      <c r="AB7" s="1475"/>
      <c r="AC7" s="1475"/>
      <c r="AD7" s="1475"/>
      <c r="AE7" s="1476"/>
    </row>
    <row r="8" spans="2:31" ht="38.25">
      <c r="B8" s="412"/>
      <c r="C8" s="413"/>
      <c r="D8" s="413"/>
      <c r="E8" s="413" t="s">
        <v>360</v>
      </c>
      <c r="F8" s="414" t="s">
        <v>423</v>
      </c>
      <c r="G8" s="1474" t="s">
        <v>418</v>
      </c>
      <c r="H8" s="1474"/>
      <c r="I8" s="1472" t="s">
        <v>427</v>
      </c>
      <c r="J8" s="1474"/>
      <c r="K8" s="415" t="s">
        <v>428</v>
      </c>
      <c r="L8" s="1474" t="s">
        <v>418</v>
      </c>
      <c r="M8" s="1474"/>
      <c r="N8" s="1472" t="s">
        <v>427</v>
      </c>
      <c r="O8" s="1473"/>
      <c r="P8" s="416" t="s">
        <v>428</v>
      </c>
      <c r="Q8" s="1474" t="s">
        <v>418</v>
      </c>
      <c r="R8" s="1474"/>
      <c r="S8" s="1472" t="s">
        <v>427</v>
      </c>
      <c r="T8" s="1474"/>
      <c r="U8" s="415" t="s">
        <v>428</v>
      </c>
      <c r="V8" s="1474" t="s">
        <v>418</v>
      </c>
      <c r="W8" s="1474"/>
      <c r="X8" s="1472" t="s">
        <v>427</v>
      </c>
      <c r="Y8" s="1473"/>
      <c r="Z8" s="416" t="s">
        <v>428</v>
      </c>
      <c r="AA8" s="1474" t="s">
        <v>418</v>
      </c>
      <c r="AB8" s="1474"/>
      <c r="AC8" s="1472" t="s">
        <v>427</v>
      </c>
      <c r="AD8" s="1473"/>
      <c r="AE8" s="416" t="s">
        <v>163</v>
      </c>
    </row>
    <row r="9" spans="2:31" ht="13.5" thickBot="1">
      <c r="B9" s="417"/>
      <c r="C9" s="418"/>
      <c r="D9" s="418"/>
      <c r="E9" s="418"/>
      <c r="F9" s="419"/>
      <c r="G9" s="420" t="s">
        <v>164</v>
      </c>
      <c r="H9" s="421" t="s">
        <v>165</v>
      </c>
      <c r="I9" s="422" t="s">
        <v>164</v>
      </c>
      <c r="J9" s="423" t="s">
        <v>165</v>
      </c>
      <c r="K9" s="424" t="s">
        <v>742</v>
      </c>
      <c r="L9" s="420" t="s">
        <v>164</v>
      </c>
      <c r="M9" s="421" t="s">
        <v>165</v>
      </c>
      <c r="N9" s="422" t="s">
        <v>164</v>
      </c>
      <c r="O9" s="425" t="s">
        <v>165</v>
      </c>
      <c r="P9" s="426" t="s">
        <v>743</v>
      </c>
      <c r="Q9" s="420" t="s">
        <v>164</v>
      </c>
      <c r="R9" s="421" t="s">
        <v>165</v>
      </c>
      <c r="S9" s="422" t="s">
        <v>164</v>
      </c>
      <c r="T9" s="423" t="s">
        <v>165</v>
      </c>
      <c r="U9" s="424" t="s">
        <v>739</v>
      </c>
      <c r="V9" s="420" t="s">
        <v>164</v>
      </c>
      <c r="W9" s="421" t="s">
        <v>165</v>
      </c>
      <c r="X9" s="422" t="s">
        <v>164</v>
      </c>
      <c r="Y9" s="425" t="s">
        <v>165</v>
      </c>
      <c r="Z9" s="426" t="s">
        <v>609</v>
      </c>
      <c r="AA9" s="420" t="s">
        <v>164</v>
      </c>
      <c r="AB9" s="421" t="s">
        <v>165</v>
      </c>
      <c r="AC9" s="422" t="s">
        <v>164</v>
      </c>
      <c r="AD9" s="425" t="s">
        <v>165</v>
      </c>
      <c r="AE9" s="426" t="s">
        <v>610</v>
      </c>
    </row>
    <row r="10" spans="2:31" ht="12.75">
      <c r="B10" s="427"/>
      <c r="C10" s="428" t="s">
        <v>208</v>
      </c>
      <c r="D10" s="428"/>
      <c r="E10" s="429"/>
      <c r="F10" s="430"/>
      <c r="G10" s="431"/>
      <c r="H10" s="432"/>
      <c r="I10" s="431"/>
      <c r="J10" s="433"/>
      <c r="K10" s="430"/>
      <c r="L10" s="431"/>
      <c r="M10" s="432"/>
      <c r="N10" s="431"/>
      <c r="O10" s="433"/>
      <c r="P10" s="430"/>
      <c r="Q10" s="431"/>
      <c r="R10" s="432"/>
      <c r="S10" s="431"/>
      <c r="T10" s="433"/>
      <c r="U10" s="430"/>
      <c r="V10" s="431"/>
      <c r="W10" s="432"/>
      <c r="X10" s="431"/>
      <c r="Y10" s="432"/>
      <c r="Z10" s="430"/>
      <c r="AA10" s="431"/>
      <c r="AB10" s="432"/>
      <c r="AC10" s="431"/>
      <c r="AD10" s="432"/>
      <c r="AE10" s="430"/>
    </row>
    <row r="11" spans="2:31" ht="12.75">
      <c r="B11" s="427"/>
      <c r="C11" s="429"/>
      <c r="D11" s="434" t="s">
        <v>166</v>
      </c>
      <c r="E11" s="429"/>
      <c r="F11" s="435"/>
      <c r="G11" s="436"/>
      <c r="H11" s="437"/>
      <c r="I11" s="436"/>
      <c r="J11" s="438"/>
      <c r="K11" s="435"/>
      <c r="L11" s="436"/>
      <c r="M11" s="437"/>
      <c r="N11" s="436"/>
      <c r="O11" s="438"/>
      <c r="P11" s="435"/>
      <c r="Q11" s="436"/>
      <c r="R11" s="437"/>
      <c r="S11" s="436"/>
      <c r="T11" s="438"/>
      <c r="U11" s="439"/>
      <c r="V11" s="436"/>
      <c r="W11" s="437"/>
      <c r="X11" s="436"/>
      <c r="Y11" s="437"/>
      <c r="Z11" s="435"/>
      <c r="AA11" s="436"/>
      <c r="AB11" s="437"/>
      <c r="AC11" s="436"/>
      <c r="AD11" s="437"/>
      <c r="AE11" s="435"/>
    </row>
    <row r="12" spans="2:31" ht="12.75">
      <c r="B12" s="440"/>
      <c r="C12" s="429"/>
      <c r="D12" s="429"/>
      <c r="E12" s="429" t="s">
        <v>209</v>
      </c>
      <c r="F12" s="441"/>
      <c r="G12" s="442">
        <v>0</v>
      </c>
      <c r="H12" s="443">
        <v>0</v>
      </c>
      <c r="I12" s="442">
        <v>0</v>
      </c>
      <c r="J12" s="443">
        <v>0</v>
      </c>
      <c r="K12" s="441">
        <v>7568</v>
      </c>
      <c r="L12" s="442">
        <v>0</v>
      </c>
      <c r="M12" s="443">
        <v>155</v>
      </c>
      <c r="N12" s="442">
        <v>0</v>
      </c>
      <c r="O12" s="443">
        <v>113</v>
      </c>
      <c r="P12" s="441">
        <v>7526</v>
      </c>
      <c r="Q12" s="442">
        <v>0</v>
      </c>
      <c r="R12" s="443">
        <v>192</v>
      </c>
      <c r="S12" s="442">
        <v>0</v>
      </c>
      <c r="T12" s="443">
        <v>126</v>
      </c>
      <c r="U12" s="444">
        <v>7460</v>
      </c>
      <c r="V12" s="442">
        <v>0</v>
      </c>
      <c r="W12" s="443">
        <v>146</v>
      </c>
      <c r="X12" s="442">
        <v>0</v>
      </c>
      <c r="Y12" s="443">
        <v>141</v>
      </c>
      <c r="Z12" s="441">
        <v>7455</v>
      </c>
      <c r="AA12" s="442">
        <v>0</v>
      </c>
      <c r="AB12" s="443">
        <v>149</v>
      </c>
      <c r="AC12" s="442">
        <v>0</v>
      </c>
      <c r="AD12" s="443">
        <v>142</v>
      </c>
      <c r="AE12" s="441">
        <v>7448</v>
      </c>
    </row>
    <row r="13" spans="2:31" ht="12.75">
      <c r="B13" s="440"/>
      <c r="C13" s="429"/>
      <c r="D13" s="429"/>
      <c r="E13" s="429" t="s">
        <v>212</v>
      </c>
      <c r="F13" s="441"/>
      <c r="G13" s="442">
        <v>0</v>
      </c>
      <c r="H13" s="443">
        <v>10092</v>
      </c>
      <c r="I13" s="442">
        <v>0</v>
      </c>
      <c r="J13" s="445">
        <v>10092</v>
      </c>
      <c r="K13" s="441">
        <v>442000</v>
      </c>
      <c r="L13" s="442">
        <v>0</v>
      </c>
      <c r="M13" s="443">
        <v>9251</v>
      </c>
      <c r="N13" s="442">
        <v>0</v>
      </c>
      <c r="O13" s="445">
        <v>9251</v>
      </c>
      <c r="P13" s="441">
        <v>442000</v>
      </c>
      <c r="Q13" s="442">
        <v>0</v>
      </c>
      <c r="R13" s="443">
        <v>12616</v>
      </c>
      <c r="S13" s="442">
        <v>0</v>
      </c>
      <c r="T13" s="445">
        <v>12616</v>
      </c>
      <c r="U13" s="444">
        <v>442000</v>
      </c>
      <c r="V13" s="442">
        <v>0</v>
      </c>
      <c r="W13" s="443">
        <v>7000</v>
      </c>
      <c r="X13" s="442">
        <v>0</v>
      </c>
      <c r="Y13" s="443">
        <v>7000</v>
      </c>
      <c r="Z13" s="441">
        <v>442000</v>
      </c>
      <c r="AA13" s="442">
        <v>0</v>
      </c>
      <c r="AB13" s="443">
        <v>5000</v>
      </c>
      <c r="AC13" s="442">
        <v>0</v>
      </c>
      <c r="AD13" s="443">
        <v>5000</v>
      </c>
      <c r="AE13" s="441">
        <v>442000</v>
      </c>
    </row>
    <row r="14" spans="2:31" ht="12.75">
      <c r="B14" s="440"/>
      <c r="C14" s="429"/>
      <c r="D14" s="429"/>
      <c r="E14" s="429"/>
      <c r="F14" s="446"/>
      <c r="G14" s="447"/>
      <c r="H14" s="448"/>
      <c r="I14" s="447"/>
      <c r="J14" s="449"/>
      <c r="K14" s="446"/>
      <c r="L14" s="447"/>
      <c r="M14" s="448"/>
      <c r="N14" s="447"/>
      <c r="O14" s="449"/>
      <c r="P14" s="446"/>
      <c r="Q14" s="447"/>
      <c r="R14" s="448"/>
      <c r="S14" s="447"/>
      <c r="T14" s="449"/>
      <c r="U14" s="450"/>
      <c r="V14" s="447"/>
      <c r="W14" s="448"/>
      <c r="X14" s="447"/>
      <c r="Y14" s="448"/>
      <c r="Z14" s="446"/>
      <c r="AA14" s="447"/>
      <c r="AB14" s="448"/>
      <c r="AC14" s="447"/>
      <c r="AD14" s="448"/>
      <c r="AE14" s="446"/>
    </row>
    <row r="15" spans="2:31" ht="12.75">
      <c r="B15" s="440"/>
      <c r="C15" s="429"/>
      <c r="D15" s="434" t="s">
        <v>608</v>
      </c>
      <c r="E15" s="429"/>
      <c r="F15" s="446"/>
      <c r="G15" s="447"/>
      <c r="H15" s="448"/>
      <c r="I15" s="447"/>
      <c r="J15" s="449"/>
      <c r="K15" s="446"/>
      <c r="L15" s="447"/>
      <c r="M15" s="448"/>
      <c r="N15" s="447"/>
      <c r="O15" s="449"/>
      <c r="P15" s="446"/>
      <c r="Q15" s="447"/>
      <c r="R15" s="448"/>
      <c r="S15" s="447"/>
      <c r="T15" s="449"/>
      <c r="U15" s="450"/>
      <c r="V15" s="447"/>
      <c r="W15" s="448"/>
      <c r="X15" s="447"/>
      <c r="Y15" s="448"/>
      <c r="Z15" s="446"/>
      <c r="AA15" s="447"/>
      <c r="AB15" s="448"/>
      <c r="AC15" s="447"/>
      <c r="AD15" s="448"/>
      <c r="AE15" s="446"/>
    </row>
    <row r="16" spans="2:31" ht="12.75">
      <c r="B16" s="440"/>
      <c r="C16" s="429"/>
      <c r="D16" s="429"/>
      <c r="E16" s="429" t="s">
        <v>473</v>
      </c>
      <c r="F16" s="441"/>
      <c r="G16" s="442">
        <v>0</v>
      </c>
      <c r="H16" s="443">
        <v>1983</v>
      </c>
      <c r="I16" s="442">
        <v>0</v>
      </c>
      <c r="J16" s="445">
        <v>1966</v>
      </c>
      <c r="K16" s="441">
        <v>200213</v>
      </c>
      <c r="L16" s="442">
        <v>0</v>
      </c>
      <c r="M16" s="443">
        <v>2985</v>
      </c>
      <c r="N16" s="442">
        <v>0</v>
      </c>
      <c r="O16" s="445">
        <v>2470</v>
      </c>
      <c r="P16" s="441">
        <v>199698</v>
      </c>
      <c r="Q16" s="442">
        <v>0</v>
      </c>
      <c r="R16" s="443">
        <v>4498</v>
      </c>
      <c r="S16" s="442">
        <v>0</v>
      </c>
      <c r="T16" s="445">
        <v>3205</v>
      </c>
      <c r="U16" s="444">
        <v>198405</v>
      </c>
      <c r="V16" s="442">
        <v>0</v>
      </c>
      <c r="W16" s="443">
        <v>3040</v>
      </c>
      <c r="X16" s="442">
        <v>0</v>
      </c>
      <c r="Y16" s="443">
        <v>2940</v>
      </c>
      <c r="Z16" s="441">
        <v>198305</v>
      </c>
      <c r="AA16" s="442">
        <v>0</v>
      </c>
      <c r="AB16" s="443">
        <v>2900</v>
      </c>
      <c r="AC16" s="442">
        <v>0</v>
      </c>
      <c r="AD16" s="443">
        <v>2760</v>
      </c>
      <c r="AE16" s="441">
        <v>198165</v>
      </c>
    </row>
    <row r="17" spans="2:31" ht="12.75">
      <c r="B17" s="440"/>
      <c r="C17" s="429"/>
      <c r="D17" s="429"/>
      <c r="E17" s="429"/>
      <c r="F17" s="446"/>
      <c r="G17" s="447"/>
      <c r="H17" s="448"/>
      <c r="I17" s="447"/>
      <c r="J17" s="449"/>
      <c r="K17" s="446"/>
      <c r="L17" s="447"/>
      <c r="M17" s="448"/>
      <c r="N17" s="447"/>
      <c r="O17" s="449"/>
      <c r="P17" s="446"/>
      <c r="Q17" s="447"/>
      <c r="R17" s="448"/>
      <c r="S17" s="447"/>
      <c r="T17" s="449"/>
      <c r="U17" s="450"/>
      <c r="V17" s="447"/>
      <c r="W17" s="448"/>
      <c r="X17" s="447"/>
      <c r="Y17" s="448"/>
      <c r="Z17" s="446"/>
      <c r="AA17" s="447"/>
      <c r="AB17" s="448"/>
      <c r="AC17" s="447"/>
      <c r="AD17" s="448"/>
      <c r="AE17" s="446"/>
    </row>
    <row r="18" spans="2:31" ht="12.75">
      <c r="B18" s="440"/>
      <c r="C18" s="429"/>
      <c r="D18" s="434" t="s">
        <v>432</v>
      </c>
      <c r="E18" s="429"/>
      <c r="F18" s="446"/>
      <c r="G18" s="447"/>
      <c r="H18" s="448"/>
      <c r="I18" s="447"/>
      <c r="J18" s="449"/>
      <c r="K18" s="446"/>
      <c r="L18" s="447"/>
      <c r="M18" s="448"/>
      <c r="N18" s="447"/>
      <c r="O18" s="449"/>
      <c r="P18" s="446"/>
      <c r="Q18" s="447"/>
      <c r="R18" s="448"/>
      <c r="S18" s="447"/>
      <c r="T18" s="449"/>
      <c r="U18" s="450"/>
      <c r="V18" s="447"/>
      <c r="W18" s="448"/>
      <c r="X18" s="447"/>
      <c r="Y18" s="448"/>
      <c r="Z18" s="446"/>
      <c r="AA18" s="447"/>
      <c r="AB18" s="448"/>
      <c r="AC18" s="447"/>
      <c r="AD18" s="448"/>
      <c r="AE18" s="446"/>
    </row>
    <row r="19" spans="2:31" ht="12.75">
      <c r="B19" s="440"/>
      <c r="C19" s="429"/>
      <c r="D19" s="434"/>
      <c r="E19" s="429" t="s">
        <v>378</v>
      </c>
      <c r="F19" s="441"/>
      <c r="G19" s="442">
        <v>0</v>
      </c>
      <c r="H19" s="443">
        <v>6</v>
      </c>
      <c r="I19" s="442">
        <v>0</v>
      </c>
      <c r="J19" s="445">
        <v>0</v>
      </c>
      <c r="K19" s="441">
        <v>2815.0220000000004</v>
      </c>
      <c r="L19" s="442">
        <v>0</v>
      </c>
      <c r="M19" s="443">
        <v>14.8</v>
      </c>
      <c r="N19" s="442">
        <v>0</v>
      </c>
      <c r="O19" s="445">
        <v>0</v>
      </c>
      <c r="P19" s="441">
        <v>2800.222</v>
      </c>
      <c r="Q19" s="442">
        <v>0</v>
      </c>
      <c r="R19" s="443">
        <v>12.4</v>
      </c>
      <c r="S19" s="442">
        <v>0</v>
      </c>
      <c r="T19" s="445">
        <v>0</v>
      </c>
      <c r="U19" s="444">
        <v>2787.822</v>
      </c>
      <c r="V19" s="442">
        <v>0</v>
      </c>
      <c r="W19" s="443">
        <v>30</v>
      </c>
      <c r="X19" s="442">
        <v>0</v>
      </c>
      <c r="Y19" s="443">
        <v>0</v>
      </c>
      <c r="Z19" s="441">
        <v>2757.822</v>
      </c>
      <c r="AA19" s="442">
        <v>0</v>
      </c>
      <c r="AB19" s="443">
        <v>30</v>
      </c>
      <c r="AC19" s="442">
        <v>0</v>
      </c>
      <c r="AD19" s="443">
        <v>0</v>
      </c>
      <c r="AE19" s="441">
        <v>2727.822</v>
      </c>
    </row>
    <row r="20" spans="2:31" ht="12.75">
      <c r="B20" s="440"/>
      <c r="C20" s="429"/>
      <c r="D20" s="434"/>
      <c r="E20" s="429" t="s">
        <v>220</v>
      </c>
      <c r="F20" s="441"/>
      <c r="G20" s="442">
        <v>0</v>
      </c>
      <c r="H20" s="443">
        <v>0</v>
      </c>
      <c r="I20" s="442">
        <v>471</v>
      </c>
      <c r="J20" s="445">
        <v>6</v>
      </c>
      <c r="K20" s="441">
        <v>4136</v>
      </c>
      <c r="L20" s="442">
        <v>0</v>
      </c>
      <c r="M20" s="443">
        <v>0.9</v>
      </c>
      <c r="N20" s="442">
        <v>217.7</v>
      </c>
      <c r="O20" s="445">
        <v>24.9</v>
      </c>
      <c r="P20" s="441">
        <v>4377.7</v>
      </c>
      <c r="Q20" s="442">
        <v>0</v>
      </c>
      <c r="R20" s="443">
        <v>1.5</v>
      </c>
      <c r="S20" s="442">
        <v>161.6</v>
      </c>
      <c r="T20" s="445">
        <v>25.4</v>
      </c>
      <c r="U20" s="444">
        <v>4563.2</v>
      </c>
      <c r="V20" s="442">
        <v>0</v>
      </c>
      <c r="W20" s="443">
        <v>0</v>
      </c>
      <c r="X20" s="442">
        <v>162</v>
      </c>
      <c r="Y20" s="443">
        <v>38</v>
      </c>
      <c r="Z20" s="441">
        <v>4763.2</v>
      </c>
      <c r="AA20" s="442">
        <v>0</v>
      </c>
      <c r="AB20" s="443">
        <v>0</v>
      </c>
      <c r="AC20" s="442">
        <v>154</v>
      </c>
      <c r="AD20" s="443">
        <v>40</v>
      </c>
      <c r="AE20" s="441">
        <v>4957.2</v>
      </c>
    </row>
    <row r="21" spans="2:31" ht="12.75">
      <c r="B21" s="440"/>
      <c r="C21" s="429"/>
      <c r="D21" s="434"/>
      <c r="E21" s="429" t="s">
        <v>221</v>
      </c>
      <c r="F21" s="441"/>
      <c r="G21" s="442">
        <v>0</v>
      </c>
      <c r="H21" s="443">
        <v>0</v>
      </c>
      <c r="I21" s="442">
        <v>0</v>
      </c>
      <c r="J21" s="445">
        <v>0</v>
      </c>
      <c r="K21" s="441">
        <v>6418</v>
      </c>
      <c r="L21" s="442">
        <v>0</v>
      </c>
      <c r="M21" s="443">
        <v>9.2</v>
      </c>
      <c r="N21" s="442">
        <v>0</v>
      </c>
      <c r="O21" s="445">
        <v>0</v>
      </c>
      <c r="P21" s="441">
        <v>6408.8</v>
      </c>
      <c r="Q21" s="442">
        <v>0</v>
      </c>
      <c r="R21" s="443">
        <v>11.5</v>
      </c>
      <c r="S21" s="442">
        <v>0</v>
      </c>
      <c r="T21" s="445">
        <v>0</v>
      </c>
      <c r="U21" s="444">
        <v>6397.3</v>
      </c>
      <c r="V21" s="442">
        <v>0</v>
      </c>
      <c r="W21" s="443">
        <v>3</v>
      </c>
      <c r="X21" s="442">
        <v>0</v>
      </c>
      <c r="Y21" s="443">
        <v>0</v>
      </c>
      <c r="Z21" s="441">
        <v>6394.3</v>
      </c>
      <c r="AA21" s="442">
        <v>0</v>
      </c>
      <c r="AB21" s="443">
        <v>3</v>
      </c>
      <c r="AC21" s="442">
        <v>0</v>
      </c>
      <c r="AD21" s="443">
        <v>0</v>
      </c>
      <c r="AE21" s="441">
        <v>6391.3</v>
      </c>
    </row>
    <row r="22" spans="2:31" ht="12.75">
      <c r="B22" s="440"/>
      <c r="C22" s="429"/>
      <c r="D22" s="434"/>
      <c r="E22" s="429" t="s">
        <v>222</v>
      </c>
      <c r="F22" s="441"/>
      <c r="G22" s="442">
        <v>0</v>
      </c>
      <c r="H22" s="443">
        <v>0</v>
      </c>
      <c r="I22" s="442">
        <v>17154</v>
      </c>
      <c r="J22" s="445">
        <v>0</v>
      </c>
      <c r="K22" s="441">
        <v>1027200</v>
      </c>
      <c r="L22" s="442">
        <v>0</v>
      </c>
      <c r="M22" s="443">
        <v>0</v>
      </c>
      <c r="N22" s="442">
        <v>19392</v>
      </c>
      <c r="O22" s="445">
        <v>0</v>
      </c>
      <c r="P22" s="441">
        <v>1046592</v>
      </c>
      <c r="Q22" s="442">
        <v>0</v>
      </c>
      <c r="R22" s="443">
        <v>0</v>
      </c>
      <c r="S22" s="442">
        <v>16006</v>
      </c>
      <c r="T22" s="445">
        <v>0</v>
      </c>
      <c r="U22" s="444">
        <v>1062598</v>
      </c>
      <c r="V22" s="442">
        <v>0</v>
      </c>
      <c r="W22" s="443">
        <v>3000</v>
      </c>
      <c r="X22" s="442">
        <v>15042</v>
      </c>
      <c r="Y22" s="443">
        <v>3000</v>
      </c>
      <c r="Z22" s="441">
        <v>1077640</v>
      </c>
      <c r="AA22" s="442">
        <v>0</v>
      </c>
      <c r="AB22" s="443">
        <v>3000</v>
      </c>
      <c r="AC22" s="442">
        <v>14283</v>
      </c>
      <c r="AD22" s="443">
        <v>3000</v>
      </c>
      <c r="AE22" s="441">
        <v>1091923</v>
      </c>
    </row>
    <row r="23" spans="2:31" ht="12.75">
      <c r="B23" s="440"/>
      <c r="C23" s="429"/>
      <c r="D23" s="429"/>
      <c r="E23" s="429"/>
      <c r="F23" s="446"/>
      <c r="G23" s="447"/>
      <c r="H23" s="448"/>
      <c r="I23" s="447"/>
      <c r="J23" s="449"/>
      <c r="K23" s="446"/>
      <c r="L23" s="447"/>
      <c r="M23" s="448"/>
      <c r="N23" s="447"/>
      <c r="O23" s="449"/>
      <c r="P23" s="446"/>
      <c r="Q23" s="447"/>
      <c r="R23" s="448"/>
      <c r="S23" s="447"/>
      <c r="T23" s="449"/>
      <c r="U23" s="450"/>
      <c r="V23" s="447"/>
      <c r="W23" s="448"/>
      <c r="X23" s="447"/>
      <c r="Y23" s="448"/>
      <c r="Z23" s="446"/>
      <c r="AA23" s="447"/>
      <c r="AB23" s="448"/>
      <c r="AC23" s="447"/>
      <c r="AD23" s="448"/>
      <c r="AE23" s="446"/>
    </row>
    <row r="24" spans="2:31" ht="12.75">
      <c r="B24" s="440"/>
      <c r="C24" s="429"/>
      <c r="D24" s="434" t="s">
        <v>223</v>
      </c>
      <c r="E24" s="429"/>
      <c r="F24" s="446"/>
      <c r="G24" s="447"/>
      <c r="H24" s="448"/>
      <c r="I24" s="447"/>
      <c r="J24" s="449"/>
      <c r="K24" s="446"/>
      <c r="L24" s="447"/>
      <c r="M24" s="448"/>
      <c r="N24" s="447"/>
      <c r="O24" s="449"/>
      <c r="P24" s="446"/>
      <c r="Q24" s="447"/>
      <c r="R24" s="448"/>
      <c r="S24" s="447"/>
      <c r="T24" s="449"/>
      <c r="U24" s="450"/>
      <c r="V24" s="447"/>
      <c r="W24" s="448"/>
      <c r="X24" s="447"/>
      <c r="Y24" s="448"/>
      <c r="Z24" s="446"/>
      <c r="AA24" s="447"/>
      <c r="AB24" s="448"/>
      <c r="AC24" s="447"/>
      <c r="AD24" s="448"/>
      <c r="AE24" s="446"/>
    </row>
    <row r="25" spans="2:31" ht="12.75">
      <c r="B25" s="440"/>
      <c r="C25" s="429"/>
      <c r="D25" s="434"/>
      <c r="E25" s="429" t="s">
        <v>224</v>
      </c>
      <c r="F25" s="441"/>
      <c r="G25" s="442">
        <v>0</v>
      </c>
      <c r="H25" s="443">
        <v>1</v>
      </c>
      <c r="I25" s="442">
        <v>85</v>
      </c>
      <c r="J25" s="445">
        <v>146</v>
      </c>
      <c r="K25" s="441">
        <v>6363</v>
      </c>
      <c r="L25" s="442">
        <v>0</v>
      </c>
      <c r="M25" s="443">
        <v>13</v>
      </c>
      <c r="N25" s="442">
        <v>61</v>
      </c>
      <c r="O25" s="445">
        <v>124</v>
      </c>
      <c r="P25" s="441">
        <v>6535</v>
      </c>
      <c r="Q25" s="442">
        <v>0</v>
      </c>
      <c r="R25" s="443">
        <v>29</v>
      </c>
      <c r="S25" s="442">
        <v>93</v>
      </c>
      <c r="T25" s="445">
        <v>140</v>
      </c>
      <c r="U25" s="444">
        <v>6739</v>
      </c>
      <c r="V25" s="442">
        <v>0</v>
      </c>
      <c r="W25" s="443">
        <v>0</v>
      </c>
      <c r="X25" s="442">
        <v>64</v>
      </c>
      <c r="Y25" s="443">
        <v>0</v>
      </c>
      <c r="Z25" s="441">
        <v>6803</v>
      </c>
      <c r="AA25" s="442">
        <v>0</v>
      </c>
      <c r="AB25" s="443">
        <v>0</v>
      </c>
      <c r="AC25" s="442">
        <v>61</v>
      </c>
      <c r="AD25" s="443">
        <v>0</v>
      </c>
      <c r="AE25" s="441">
        <v>6864</v>
      </c>
    </row>
    <row r="26" spans="2:31" ht="12.75">
      <c r="B26" s="440"/>
      <c r="C26" s="429"/>
      <c r="D26" s="434"/>
      <c r="E26" s="429" t="s">
        <v>225</v>
      </c>
      <c r="F26" s="441"/>
      <c r="G26" s="442">
        <v>43</v>
      </c>
      <c r="H26" s="443">
        <v>19</v>
      </c>
      <c r="I26" s="442">
        <v>1</v>
      </c>
      <c r="J26" s="445">
        <v>19</v>
      </c>
      <c r="K26" s="441">
        <v>3530</v>
      </c>
      <c r="L26" s="442">
        <v>54</v>
      </c>
      <c r="M26" s="443">
        <v>24</v>
      </c>
      <c r="N26" s="442">
        <v>1</v>
      </c>
      <c r="O26" s="445">
        <v>24</v>
      </c>
      <c r="P26" s="441">
        <v>3477</v>
      </c>
      <c r="Q26" s="442">
        <v>59</v>
      </c>
      <c r="R26" s="443">
        <v>26</v>
      </c>
      <c r="S26" s="442">
        <v>1</v>
      </c>
      <c r="T26" s="445">
        <v>26</v>
      </c>
      <c r="U26" s="444">
        <v>3419</v>
      </c>
      <c r="V26" s="442">
        <v>48</v>
      </c>
      <c r="W26" s="443">
        <v>25</v>
      </c>
      <c r="X26" s="442">
        <v>1</v>
      </c>
      <c r="Y26" s="443">
        <v>25</v>
      </c>
      <c r="Z26" s="441">
        <v>3372</v>
      </c>
      <c r="AA26" s="442">
        <v>45</v>
      </c>
      <c r="AB26" s="443">
        <v>25</v>
      </c>
      <c r="AC26" s="442">
        <v>1</v>
      </c>
      <c r="AD26" s="443">
        <v>25</v>
      </c>
      <c r="AE26" s="441">
        <v>3328</v>
      </c>
    </row>
    <row r="27" spans="2:31" ht="12.75">
      <c r="B27" s="440"/>
      <c r="C27" s="429"/>
      <c r="D27" s="434"/>
      <c r="E27" s="429" t="s">
        <v>357</v>
      </c>
      <c r="F27" s="441"/>
      <c r="G27" s="442">
        <v>5</v>
      </c>
      <c r="H27" s="443">
        <v>8</v>
      </c>
      <c r="I27" s="442">
        <v>4</v>
      </c>
      <c r="J27" s="445">
        <v>8</v>
      </c>
      <c r="K27" s="441">
        <v>1566</v>
      </c>
      <c r="L27" s="442">
        <v>4</v>
      </c>
      <c r="M27" s="443">
        <v>11</v>
      </c>
      <c r="N27" s="442">
        <v>7</v>
      </c>
      <c r="O27" s="445">
        <v>11</v>
      </c>
      <c r="P27" s="441">
        <v>1569</v>
      </c>
      <c r="Q27" s="442">
        <v>0</v>
      </c>
      <c r="R27" s="443">
        <v>6</v>
      </c>
      <c r="S27" s="442">
        <v>3</v>
      </c>
      <c r="T27" s="445">
        <v>9</v>
      </c>
      <c r="U27" s="444">
        <v>1575</v>
      </c>
      <c r="V27" s="442">
        <v>2</v>
      </c>
      <c r="W27" s="443">
        <v>0</v>
      </c>
      <c r="X27" s="442">
        <v>4</v>
      </c>
      <c r="Y27" s="443">
        <v>0</v>
      </c>
      <c r="Z27" s="441">
        <v>1577</v>
      </c>
      <c r="AA27" s="442">
        <v>2</v>
      </c>
      <c r="AB27" s="443">
        <v>0</v>
      </c>
      <c r="AC27" s="442">
        <v>4</v>
      </c>
      <c r="AD27" s="443">
        <v>0</v>
      </c>
      <c r="AE27" s="441">
        <v>1579</v>
      </c>
    </row>
    <row r="28" spans="2:31" ht="12.75">
      <c r="B28" s="440"/>
      <c r="C28" s="429"/>
      <c r="D28" s="434"/>
      <c r="E28" s="429" t="s">
        <v>358</v>
      </c>
      <c r="F28" s="441"/>
      <c r="G28" s="442">
        <v>40</v>
      </c>
      <c r="H28" s="443">
        <v>0</v>
      </c>
      <c r="I28" s="442">
        <v>59</v>
      </c>
      <c r="J28" s="445">
        <v>67</v>
      </c>
      <c r="K28" s="441">
        <v>11512</v>
      </c>
      <c r="L28" s="442">
        <v>0</v>
      </c>
      <c r="M28" s="443">
        <v>32</v>
      </c>
      <c r="N28" s="442">
        <v>47</v>
      </c>
      <c r="O28" s="445">
        <v>57</v>
      </c>
      <c r="P28" s="441">
        <v>11584</v>
      </c>
      <c r="Q28" s="442">
        <v>0</v>
      </c>
      <c r="R28" s="443">
        <v>23</v>
      </c>
      <c r="S28" s="442">
        <v>52</v>
      </c>
      <c r="T28" s="445">
        <v>56</v>
      </c>
      <c r="U28" s="444">
        <v>11669</v>
      </c>
      <c r="V28" s="442">
        <v>0</v>
      </c>
      <c r="W28" s="443">
        <v>0</v>
      </c>
      <c r="X28" s="442">
        <v>42</v>
      </c>
      <c r="Y28" s="443">
        <v>0</v>
      </c>
      <c r="Z28" s="441">
        <v>11711</v>
      </c>
      <c r="AA28" s="442">
        <v>0</v>
      </c>
      <c r="AB28" s="443">
        <v>0</v>
      </c>
      <c r="AC28" s="442">
        <v>40</v>
      </c>
      <c r="AD28" s="443">
        <v>0</v>
      </c>
      <c r="AE28" s="441">
        <v>11751</v>
      </c>
    </row>
    <row r="29" spans="2:31" ht="12.75">
      <c r="B29" s="440"/>
      <c r="C29" s="429"/>
      <c r="D29" s="434"/>
      <c r="E29" s="429" t="s">
        <v>479</v>
      </c>
      <c r="F29" s="441"/>
      <c r="G29" s="442">
        <v>347</v>
      </c>
      <c r="H29" s="443">
        <v>0</v>
      </c>
      <c r="I29" s="442">
        <v>776</v>
      </c>
      <c r="J29" s="445">
        <v>0</v>
      </c>
      <c r="K29" s="441">
        <v>37881</v>
      </c>
      <c r="L29" s="442">
        <v>0</v>
      </c>
      <c r="M29" s="443">
        <v>0</v>
      </c>
      <c r="N29" s="442">
        <v>0</v>
      </c>
      <c r="O29" s="445">
        <v>0</v>
      </c>
      <c r="P29" s="441">
        <v>37881</v>
      </c>
      <c r="Q29" s="442">
        <v>0</v>
      </c>
      <c r="R29" s="443">
        <v>0</v>
      </c>
      <c r="S29" s="442">
        <v>0</v>
      </c>
      <c r="T29" s="445">
        <v>0</v>
      </c>
      <c r="U29" s="444">
        <v>37881</v>
      </c>
      <c r="V29" s="442">
        <v>0</v>
      </c>
      <c r="W29" s="443">
        <v>0</v>
      </c>
      <c r="X29" s="442">
        <v>0</v>
      </c>
      <c r="Y29" s="443">
        <v>0</v>
      </c>
      <c r="Z29" s="441">
        <v>37881</v>
      </c>
      <c r="AA29" s="442">
        <v>0</v>
      </c>
      <c r="AB29" s="443">
        <v>0</v>
      </c>
      <c r="AC29" s="442">
        <v>0</v>
      </c>
      <c r="AD29" s="443">
        <v>0</v>
      </c>
      <c r="AE29" s="441">
        <v>37881</v>
      </c>
    </row>
    <row r="30" spans="2:31" ht="12.75">
      <c r="B30" s="440"/>
      <c r="C30" s="429"/>
      <c r="D30" s="434"/>
      <c r="E30" s="429" t="s">
        <v>480</v>
      </c>
      <c r="F30" s="441"/>
      <c r="G30" s="442">
        <v>8</v>
      </c>
      <c r="H30" s="443">
        <v>0</v>
      </c>
      <c r="I30" s="442">
        <v>0</v>
      </c>
      <c r="J30" s="445">
        <v>0</v>
      </c>
      <c r="K30" s="441">
        <v>891</v>
      </c>
      <c r="L30" s="442">
        <v>18</v>
      </c>
      <c r="M30" s="443">
        <v>0</v>
      </c>
      <c r="N30" s="442">
        <v>0</v>
      </c>
      <c r="O30" s="445">
        <v>0</v>
      </c>
      <c r="P30" s="441">
        <v>873</v>
      </c>
      <c r="Q30" s="442">
        <v>0</v>
      </c>
      <c r="R30" s="443">
        <v>0</v>
      </c>
      <c r="S30" s="442">
        <v>0</v>
      </c>
      <c r="T30" s="445">
        <v>1</v>
      </c>
      <c r="U30" s="444">
        <v>874</v>
      </c>
      <c r="V30" s="442">
        <v>8</v>
      </c>
      <c r="W30" s="443">
        <v>0</v>
      </c>
      <c r="X30" s="442">
        <v>0</v>
      </c>
      <c r="Y30" s="443">
        <v>0</v>
      </c>
      <c r="Z30" s="441">
        <v>866</v>
      </c>
      <c r="AA30" s="442">
        <v>8</v>
      </c>
      <c r="AB30" s="443">
        <v>0</v>
      </c>
      <c r="AC30" s="442">
        <v>0</v>
      </c>
      <c r="AD30" s="443">
        <v>0</v>
      </c>
      <c r="AE30" s="441">
        <v>858</v>
      </c>
    </row>
    <row r="31" spans="2:31" ht="13.5" thickBot="1">
      <c r="B31" s="417"/>
      <c r="C31" s="418"/>
      <c r="D31" s="418"/>
      <c r="E31" s="418"/>
      <c r="F31" s="451"/>
      <c r="G31" s="452"/>
      <c r="H31" s="453"/>
      <c r="I31" s="452"/>
      <c r="J31" s="454"/>
      <c r="K31" s="455"/>
      <c r="L31" s="452"/>
      <c r="M31" s="453"/>
      <c r="N31" s="452"/>
      <c r="O31" s="454"/>
      <c r="P31" s="455"/>
      <c r="Q31" s="452"/>
      <c r="R31" s="453"/>
      <c r="S31" s="452"/>
      <c r="T31" s="454"/>
      <c r="U31" s="456"/>
      <c r="V31" s="452"/>
      <c r="W31" s="453"/>
      <c r="X31" s="452"/>
      <c r="Y31" s="453"/>
      <c r="Z31" s="455"/>
      <c r="AA31" s="452"/>
      <c r="AB31" s="453"/>
      <c r="AC31" s="452"/>
      <c r="AD31" s="453"/>
      <c r="AE31" s="455"/>
    </row>
    <row r="32" spans="2:31" ht="12.75">
      <c r="B32" s="457"/>
      <c r="C32" s="458" t="s">
        <v>481</v>
      </c>
      <c r="D32" s="458"/>
      <c r="E32" s="459"/>
      <c r="F32" s="446"/>
      <c r="G32" s="447"/>
      <c r="H32" s="448"/>
      <c r="I32" s="447"/>
      <c r="J32" s="449"/>
      <c r="K32" s="446"/>
      <c r="L32" s="447"/>
      <c r="M32" s="448"/>
      <c r="N32" s="447"/>
      <c r="O32" s="449"/>
      <c r="P32" s="446"/>
      <c r="Q32" s="447"/>
      <c r="R32" s="448"/>
      <c r="S32" s="447"/>
      <c r="T32" s="449"/>
      <c r="U32" s="450"/>
      <c r="V32" s="447"/>
      <c r="W32" s="448"/>
      <c r="X32" s="447"/>
      <c r="Y32" s="448"/>
      <c r="Z32" s="446"/>
      <c r="AA32" s="447"/>
      <c r="AB32" s="448"/>
      <c r="AC32" s="447"/>
      <c r="AD32" s="448"/>
      <c r="AE32" s="446"/>
    </row>
    <row r="33" spans="2:31" ht="12.75">
      <c r="B33" s="440"/>
      <c r="C33" s="429"/>
      <c r="D33" s="434" t="s">
        <v>166</v>
      </c>
      <c r="E33" s="429"/>
      <c r="F33" s="446"/>
      <c r="G33" s="447"/>
      <c r="H33" s="448"/>
      <c r="I33" s="447"/>
      <c r="J33" s="449"/>
      <c r="K33" s="446"/>
      <c r="L33" s="447"/>
      <c r="M33" s="448"/>
      <c r="N33" s="447"/>
      <c r="O33" s="449"/>
      <c r="P33" s="446"/>
      <c r="Q33" s="447"/>
      <c r="R33" s="448"/>
      <c r="S33" s="447"/>
      <c r="T33" s="449"/>
      <c r="U33" s="450"/>
      <c r="V33" s="447"/>
      <c r="W33" s="448"/>
      <c r="X33" s="447"/>
      <c r="Y33" s="448"/>
      <c r="Z33" s="446"/>
      <c r="AA33" s="447"/>
      <c r="AB33" s="448"/>
      <c r="AC33" s="447"/>
      <c r="AD33" s="448"/>
      <c r="AE33" s="446"/>
    </row>
    <row r="34" spans="2:31" ht="12.75">
      <c r="B34" s="440"/>
      <c r="C34" s="429"/>
      <c r="D34" s="434"/>
      <c r="E34" s="429" t="s">
        <v>482</v>
      </c>
      <c r="F34" s="441"/>
      <c r="G34" s="442">
        <v>0</v>
      </c>
      <c r="H34" s="443">
        <v>34</v>
      </c>
      <c r="I34" s="442">
        <v>0</v>
      </c>
      <c r="J34" s="445">
        <v>25</v>
      </c>
      <c r="K34" s="441">
        <v>16619</v>
      </c>
      <c r="L34" s="442">
        <v>0</v>
      </c>
      <c r="M34" s="443">
        <v>181</v>
      </c>
      <c r="N34" s="442">
        <v>0</v>
      </c>
      <c r="O34" s="445">
        <v>178</v>
      </c>
      <c r="P34" s="441">
        <v>16616</v>
      </c>
      <c r="Q34" s="442">
        <v>0</v>
      </c>
      <c r="R34" s="443">
        <v>111</v>
      </c>
      <c r="S34" s="442">
        <v>0</v>
      </c>
      <c r="T34" s="445">
        <v>86</v>
      </c>
      <c r="U34" s="444">
        <v>16591</v>
      </c>
      <c r="V34" s="442">
        <v>0</v>
      </c>
      <c r="W34" s="443">
        <v>180</v>
      </c>
      <c r="X34" s="442">
        <v>0</v>
      </c>
      <c r="Y34" s="443">
        <v>180</v>
      </c>
      <c r="Z34" s="441">
        <v>16591</v>
      </c>
      <c r="AA34" s="442">
        <v>0</v>
      </c>
      <c r="AB34" s="443">
        <v>180</v>
      </c>
      <c r="AC34" s="442">
        <v>0</v>
      </c>
      <c r="AD34" s="443">
        <v>180</v>
      </c>
      <c r="AE34" s="441">
        <v>16591</v>
      </c>
    </row>
    <row r="35" spans="2:31" ht="12.75">
      <c r="B35" s="440"/>
      <c r="C35" s="429"/>
      <c r="D35" s="434"/>
      <c r="E35" s="429" t="s">
        <v>483</v>
      </c>
      <c r="F35" s="441"/>
      <c r="G35" s="442">
        <v>0</v>
      </c>
      <c r="H35" s="443">
        <v>0</v>
      </c>
      <c r="I35" s="442">
        <v>0</v>
      </c>
      <c r="J35" s="445">
        <v>0</v>
      </c>
      <c r="K35" s="441">
        <v>0</v>
      </c>
      <c r="L35" s="442">
        <v>0</v>
      </c>
      <c r="M35" s="443">
        <v>0</v>
      </c>
      <c r="N35" s="442">
        <v>0</v>
      </c>
      <c r="O35" s="445">
        <v>0</v>
      </c>
      <c r="P35" s="441">
        <v>0</v>
      </c>
      <c r="Q35" s="442">
        <v>0</v>
      </c>
      <c r="R35" s="443">
        <v>0</v>
      </c>
      <c r="S35" s="442">
        <v>0</v>
      </c>
      <c r="T35" s="445">
        <v>0</v>
      </c>
      <c r="U35" s="444">
        <v>0</v>
      </c>
      <c r="V35" s="442">
        <v>0</v>
      </c>
      <c r="W35" s="443">
        <v>0</v>
      </c>
      <c r="X35" s="442">
        <v>0</v>
      </c>
      <c r="Y35" s="443">
        <v>0</v>
      </c>
      <c r="Z35" s="441">
        <v>0</v>
      </c>
      <c r="AA35" s="442">
        <v>0</v>
      </c>
      <c r="AB35" s="443">
        <v>0</v>
      </c>
      <c r="AC35" s="442">
        <v>0</v>
      </c>
      <c r="AD35" s="443">
        <v>0</v>
      </c>
      <c r="AE35" s="441">
        <v>0</v>
      </c>
    </row>
    <row r="36" spans="2:31" ht="12.75">
      <c r="B36" s="440"/>
      <c r="C36" s="429"/>
      <c r="D36" s="429"/>
      <c r="E36" s="429" t="s">
        <v>484</v>
      </c>
      <c r="F36" s="441"/>
      <c r="G36" s="442">
        <v>0</v>
      </c>
      <c r="H36" s="443">
        <v>0</v>
      </c>
      <c r="I36" s="442">
        <v>0</v>
      </c>
      <c r="J36" s="445">
        <v>0</v>
      </c>
      <c r="K36" s="441">
        <v>0</v>
      </c>
      <c r="L36" s="442">
        <v>0</v>
      </c>
      <c r="M36" s="443">
        <v>0</v>
      </c>
      <c r="N36" s="442">
        <v>0</v>
      </c>
      <c r="O36" s="445">
        <v>0</v>
      </c>
      <c r="P36" s="441">
        <v>0</v>
      </c>
      <c r="Q36" s="442">
        <v>0</v>
      </c>
      <c r="R36" s="443">
        <v>0</v>
      </c>
      <c r="S36" s="442">
        <v>0</v>
      </c>
      <c r="T36" s="445">
        <v>0</v>
      </c>
      <c r="U36" s="444">
        <v>0</v>
      </c>
      <c r="V36" s="442">
        <v>0</v>
      </c>
      <c r="W36" s="443">
        <v>0</v>
      </c>
      <c r="X36" s="442">
        <v>0</v>
      </c>
      <c r="Y36" s="443">
        <v>0</v>
      </c>
      <c r="Z36" s="441">
        <v>0</v>
      </c>
      <c r="AA36" s="442">
        <v>0</v>
      </c>
      <c r="AB36" s="443">
        <v>0</v>
      </c>
      <c r="AC36" s="442">
        <v>0</v>
      </c>
      <c r="AD36" s="443">
        <v>0</v>
      </c>
      <c r="AE36" s="441">
        <v>0</v>
      </c>
    </row>
    <row r="37" spans="2:31" ht="12.75">
      <c r="B37" s="440"/>
      <c r="C37" s="429"/>
      <c r="D37" s="429"/>
      <c r="E37" s="429" t="s">
        <v>369</v>
      </c>
      <c r="F37" s="441"/>
      <c r="G37" s="442">
        <v>0</v>
      </c>
      <c r="H37" s="443">
        <v>0</v>
      </c>
      <c r="I37" s="442">
        <v>0</v>
      </c>
      <c r="J37" s="445">
        <v>0</v>
      </c>
      <c r="K37" s="441">
        <v>0</v>
      </c>
      <c r="L37" s="442">
        <v>0</v>
      </c>
      <c r="M37" s="443">
        <v>0</v>
      </c>
      <c r="N37" s="442">
        <v>0</v>
      </c>
      <c r="O37" s="445">
        <v>0</v>
      </c>
      <c r="P37" s="441">
        <v>0</v>
      </c>
      <c r="Q37" s="442">
        <v>0</v>
      </c>
      <c r="R37" s="443">
        <v>0</v>
      </c>
      <c r="S37" s="442">
        <v>0</v>
      </c>
      <c r="T37" s="445">
        <v>0</v>
      </c>
      <c r="U37" s="444">
        <v>0</v>
      </c>
      <c r="V37" s="442">
        <v>0</v>
      </c>
      <c r="W37" s="443">
        <v>0</v>
      </c>
      <c r="X37" s="442">
        <v>0</v>
      </c>
      <c r="Y37" s="443">
        <v>0</v>
      </c>
      <c r="Z37" s="441">
        <v>0</v>
      </c>
      <c r="AA37" s="442">
        <v>0</v>
      </c>
      <c r="AB37" s="443">
        <v>0</v>
      </c>
      <c r="AC37" s="442">
        <v>0</v>
      </c>
      <c r="AD37" s="443">
        <v>0</v>
      </c>
      <c r="AE37" s="441">
        <v>0</v>
      </c>
    </row>
    <row r="38" spans="2:31" ht="12.75">
      <c r="B38" s="440"/>
      <c r="C38" s="429"/>
      <c r="D38" s="429"/>
      <c r="E38" s="429"/>
      <c r="F38" s="446"/>
      <c r="G38" s="447"/>
      <c r="H38" s="448"/>
      <c r="I38" s="447"/>
      <c r="J38" s="449"/>
      <c r="K38" s="446"/>
      <c r="L38" s="447"/>
      <c r="M38" s="448"/>
      <c r="N38" s="447"/>
      <c r="O38" s="449"/>
      <c r="P38" s="446"/>
      <c r="Q38" s="447"/>
      <c r="R38" s="448"/>
      <c r="S38" s="447"/>
      <c r="T38" s="449"/>
      <c r="U38" s="450"/>
      <c r="V38" s="447"/>
      <c r="W38" s="448"/>
      <c r="X38" s="447"/>
      <c r="Y38" s="448"/>
      <c r="Z38" s="446"/>
      <c r="AA38" s="447"/>
      <c r="AB38" s="448"/>
      <c r="AC38" s="447"/>
      <c r="AD38" s="448"/>
      <c r="AE38" s="446"/>
    </row>
    <row r="39" spans="2:31" ht="12.75">
      <c r="B39" s="440"/>
      <c r="C39" s="429"/>
      <c r="D39" s="434" t="s">
        <v>608</v>
      </c>
      <c r="E39" s="429"/>
      <c r="F39" s="446"/>
      <c r="G39" s="447"/>
      <c r="H39" s="448"/>
      <c r="I39" s="447"/>
      <c r="J39" s="449"/>
      <c r="K39" s="446"/>
      <c r="L39" s="447"/>
      <c r="M39" s="448"/>
      <c r="N39" s="447"/>
      <c r="O39" s="449"/>
      <c r="P39" s="446"/>
      <c r="Q39" s="447"/>
      <c r="R39" s="448"/>
      <c r="S39" s="447"/>
      <c r="T39" s="449"/>
      <c r="U39" s="450"/>
      <c r="V39" s="447"/>
      <c r="W39" s="448"/>
      <c r="X39" s="447"/>
      <c r="Y39" s="448"/>
      <c r="Z39" s="446"/>
      <c r="AA39" s="447"/>
      <c r="AB39" s="448"/>
      <c r="AC39" s="447"/>
      <c r="AD39" s="448"/>
      <c r="AE39" s="446"/>
    </row>
    <row r="40" spans="2:31" ht="12.75">
      <c r="B40" s="440"/>
      <c r="C40" s="429"/>
      <c r="D40" s="459"/>
      <c r="E40" s="429" t="s">
        <v>502</v>
      </c>
      <c r="F40" s="441"/>
      <c r="G40" s="442">
        <v>0</v>
      </c>
      <c r="H40" s="443">
        <v>1860</v>
      </c>
      <c r="I40" s="442">
        <v>0</v>
      </c>
      <c r="J40" s="445">
        <v>1774</v>
      </c>
      <c r="K40" s="441">
        <v>213438</v>
      </c>
      <c r="L40" s="442">
        <v>0</v>
      </c>
      <c r="M40" s="443">
        <v>2602</v>
      </c>
      <c r="N40" s="442">
        <v>0</v>
      </c>
      <c r="O40" s="445">
        <v>2580</v>
      </c>
      <c r="P40" s="441">
        <v>213416</v>
      </c>
      <c r="Q40" s="442">
        <v>0</v>
      </c>
      <c r="R40" s="443">
        <v>2415</v>
      </c>
      <c r="S40" s="442">
        <v>0</v>
      </c>
      <c r="T40" s="445">
        <v>2167</v>
      </c>
      <c r="U40" s="444">
        <v>213168</v>
      </c>
      <c r="V40" s="442">
        <v>0</v>
      </c>
      <c r="W40" s="443">
        <v>2970</v>
      </c>
      <c r="X40" s="442">
        <v>0</v>
      </c>
      <c r="Y40" s="443">
        <v>2970</v>
      </c>
      <c r="Z40" s="441">
        <v>213168</v>
      </c>
      <c r="AA40" s="442">
        <v>0</v>
      </c>
      <c r="AB40" s="443">
        <v>2970</v>
      </c>
      <c r="AC40" s="442">
        <v>0</v>
      </c>
      <c r="AD40" s="443">
        <v>2970</v>
      </c>
      <c r="AE40" s="441">
        <v>213168</v>
      </c>
    </row>
    <row r="41" spans="2:31" ht="12.75">
      <c r="B41" s="440"/>
      <c r="C41" s="429"/>
      <c r="D41" s="434"/>
      <c r="E41" s="429" t="s">
        <v>503</v>
      </c>
      <c r="F41" s="441"/>
      <c r="G41" s="442">
        <v>0</v>
      </c>
      <c r="H41" s="443">
        <v>0</v>
      </c>
      <c r="I41" s="442">
        <v>0</v>
      </c>
      <c r="J41" s="445">
        <v>0</v>
      </c>
      <c r="K41" s="441">
        <v>0</v>
      </c>
      <c r="L41" s="442">
        <v>0</v>
      </c>
      <c r="M41" s="443">
        <v>0</v>
      </c>
      <c r="N41" s="442">
        <v>0</v>
      </c>
      <c r="O41" s="445">
        <v>0</v>
      </c>
      <c r="P41" s="441">
        <v>0</v>
      </c>
      <c r="Q41" s="442">
        <v>0</v>
      </c>
      <c r="R41" s="443">
        <v>0</v>
      </c>
      <c r="S41" s="442">
        <v>0</v>
      </c>
      <c r="T41" s="445">
        <v>0</v>
      </c>
      <c r="U41" s="444">
        <v>0</v>
      </c>
      <c r="V41" s="442">
        <v>0</v>
      </c>
      <c r="W41" s="443">
        <v>0</v>
      </c>
      <c r="X41" s="442">
        <v>0</v>
      </c>
      <c r="Y41" s="443">
        <v>0</v>
      </c>
      <c r="Z41" s="441">
        <v>0</v>
      </c>
      <c r="AA41" s="442">
        <v>0</v>
      </c>
      <c r="AB41" s="443">
        <v>0</v>
      </c>
      <c r="AC41" s="442">
        <v>0</v>
      </c>
      <c r="AD41" s="443">
        <v>0</v>
      </c>
      <c r="AE41" s="441">
        <v>0</v>
      </c>
    </row>
    <row r="42" spans="2:31" ht="12.75">
      <c r="B42" s="440"/>
      <c r="C42" s="429"/>
      <c r="D42" s="429"/>
      <c r="E42" s="429"/>
      <c r="F42" s="446"/>
      <c r="G42" s="447"/>
      <c r="H42" s="448"/>
      <c r="I42" s="447"/>
      <c r="J42" s="449"/>
      <c r="K42" s="446"/>
      <c r="L42" s="447"/>
      <c r="M42" s="448"/>
      <c r="N42" s="447"/>
      <c r="O42" s="449"/>
      <c r="P42" s="446"/>
      <c r="Q42" s="447"/>
      <c r="R42" s="448"/>
      <c r="S42" s="447"/>
      <c r="T42" s="449"/>
      <c r="U42" s="450"/>
      <c r="V42" s="447"/>
      <c r="W42" s="448"/>
      <c r="X42" s="447"/>
      <c r="Y42" s="448"/>
      <c r="Z42" s="446"/>
      <c r="AA42" s="447"/>
      <c r="AB42" s="448"/>
      <c r="AC42" s="447"/>
      <c r="AD42" s="448"/>
      <c r="AE42" s="446"/>
    </row>
    <row r="43" spans="2:31" ht="12.75">
      <c r="B43" s="440"/>
      <c r="C43" s="429"/>
      <c r="D43" s="434" t="s">
        <v>504</v>
      </c>
      <c r="E43" s="429"/>
      <c r="F43" s="446"/>
      <c r="G43" s="447"/>
      <c r="H43" s="448"/>
      <c r="I43" s="447"/>
      <c r="J43" s="449"/>
      <c r="K43" s="446"/>
      <c r="L43" s="447"/>
      <c r="M43" s="448"/>
      <c r="N43" s="447"/>
      <c r="O43" s="449"/>
      <c r="P43" s="446"/>
      <c r="Q43" s="447"/>
      <c r="R43" s="448"/>
      <c r="S43" s="447"/>
      <c r="T43" s="449"/>
      <c r="U43" s="450"/>
      <c r="V43" s="447"/>
      <c r="W43" s="448"/>
      <c r="X43" s="447"/>
      <c r="Y43" s="448"/>
      <c r="Z43" s="446"/>
      <c r="AA43" s="447"/>
      <c r="AB43" s="448"/>
      <c r="AC43" s="447"/>
      <c r="AD43" s="448"/>
      <c r="AE43" s="446"/>
    </row>
    <row r="44" spans="2:31" ht="12.75">
      <c r="B44" s="440"/>
      <c r="C44" s="429"/>
      <c r="D44" s="434"/>
      <c r="E44" s="429" t="s">
        <v>505</v>
      </c>
      <c r="F44" s="441"/>
      <c r="G44" s="442">
        <v>0</v>
      </c>
      <c r="H44" s="443">
        <v>4</v>
      </c>
      <c r="I44" s="442">
        <v>142</v>
      </c>
      <c r="J44" s="445">
        <v>4</v>
      </c>
      <c r="K44" s="441">
        <v>6279.3</v>
      </c>
      <c r="L44" s="442">
        <v>0</v>
      </c>
      <c r="M44" s="443">
        <v>15</v>
      </c>
      <c r="N44" s="442">
        <v>82.6</v>
      </c>
      <c r="O44" s="445">
        <v>15</v>
      </c>
      <c r="P44" s="441">
        <v>6361.9</v>
      </c>
      <c r="Q44" s="442">
        <v>0</v>
      </c>
      <c r="R44" s="443">
        <v>4.2</v>
      </c>
      <c r="S44" s="442">
        <v>103.4</v>
      </c>
      <c r="T44" s="445">
        <v>4.2</v>
      </c>
      <c r="U44" s="444">
        <v>6465.3</v>
      </c>
      <c r="V44" s="442">
        <v>0</v>
      </c>
      <c r="W44" s="443">
        <v>13</v>
      </c>
      <c r="X44" s="442">
        <v>78</v>
      </c>
      <c r="Y44" s="443">
        <v>13</v>
      </c>
      <c r="Z44" s="441">
        <v>6543.3</v>
      </c>
      <c r="AA44" s="442">
        <v>0</v>
      </c>
      <c r="AB44" s="443">
        <v>13</v>
      </c>
      <c r="AC44" s="442">
        <v>74</v>
      </c>
      <c r="AD44" s="443">
        <v>13</v>
      </c>
      <c r="AE44" s="441">
        <v>6617.3</v>
      </c>
    </row>
    <row r="45" spans="2:31" ht="12.75">
      <c r="B45" s="440"/>
      <c r="C45" s="429"/>
      <c r="D45" s="434"/>
      <c r="E45" s="429" t="s">
        <v>506</v>
      </c>
      <c r="F45" s="441"/>
      <c r="G45" s="442">
        <v>0</v>
      </c>
      <c r="H45" s="443">
        <v>0</v>
      </c>
      <c r="I45" s="442">
        <v>0</v>
      </c>
      <c r="J45" s="445">
        <v>0</v>
      </c>
      <c r="K45" s="441">
        <v>0</v>
      </c>
      <c r="L45" s="442">
        <v>0</v>
      </c>
      <c r="M45" s="443">
        <v>0</v>
      </c>
      <c r="N45" s="442">
        <v>0</v>
      </c>
      <c r="O45" s="445">
        <v>0</v>
      </c>
      <c r="P45" s="441">
        <v>0</v>
      </c>
      <c r="Q45" s="442">
        <v>0</v>
      </c>
      <c r="R45" s="443">
        <v>0</v>
      </c>
      <c r="S45" s="442">
        <v>0</v>
      </c>
      <c r="T45" s="445">
        <v>0</v>
      </c>
      <c r="U45" s="444">
        <v>0</v>
      </c>
      <c r="V45" s="442">
        <v>0</v>
      </c>
      <c r="W45" s="443">
        <v>0</v>
      </c>
      <c r="X45" s="442">
        <v>0</v>
      </c>
      <c r="Y45" s="443">
        <v>0</v>
      </c>
      <c r="Z45" s="441">
        <v>0</v>
      </c>
      <c r="AA45" s="442">
        <v>0</v>
      </c>
      <c r="AB45" s="443">
        <v>0</v>
      </c>
      <c r="AC45" s="442">
        <v>0</v>
      </c>
      <c r="AD45" s="443">
        <v>0</v>
      </c>
      <c r="AE45" s="441">
        <v>0</v>
      </c>
    </row>
    <row r="46" spans="2:31" ht="12.75">
      <c r="B46" s="440"/>
      <c r="C46" s="429"/>
      <c r="D46" s="434"/>
      <c r="E46" s="429"/>
      <c r="F46" s="446"/>
      <c r="G46" s="447"/>
      <c r="H46" s="448"/>
      <c r="I46" s="447"/>
      <c r="J46" s="449"/>
      <c r="K46" s="446"/>
      <c r="L46" s="447"/>
      <c r="M46" s="448"/>
      <c r="N46" s="447"/>
      <c r="O46" s="449"/>
      <c r="P46" s="446"/>
      <c r="Q46" s="447"/>
      <c r="R46" s="448"/>
      <c r="S46" s="447"/>
      <c r="T46" s="449"/>
      <c r="U46" s="450"/>
      <c r="V46" s="447"/>
      <c r="W46" s="448"/>
      <c r="X46" s="447"/>
      <c r="Y46" s="448"/>
      <c r="Z46" s="446"/>
      <c r="AA46" s="447"/>
      <c r="AB46" s="448"/>
      <c r="AC46" s="447"/>
      <c r="AD46" s="448"/>
      <c r="AE46" s="446"/>
    </row>
    <row r="47" spans="2:31" ht="12.75">
      <c r="B47" s="440"/>
      <c r="C47" s="429"/>
      <c r="D47" s="434" t="s">
        <v>637</v>
      </c>
      <c r="E47" s="429"/>
      <c r="F47" s="446"/>
      <c r="G47" s="447"/>
      <c r="H47" s="448"/>
      <c r="I47" s="447"/>
      <c r="J47" s="449"/>
      <c r="K47" s="446"/>
      <c r="L47" s="447"/>
      <c r="M47" s="448"/>
      <c r="N47" s="447"/>
      <c r="O47" s="449"/>
      <c r="P47" s="446"/>
      <c r="Q47" s="447"/>
      <c r="R47" s="448"/>
      <c r="S47" s="447"/>
      <c r="T47" s="449"/>
      <c r="U47" s="450"/>
      <c r="V47" s="447"/>
      <c r="W47" s="448"/>
      <c r="X47" s="447"/>
      <c r="Y47" s="448"/>
      <c r="Z47" s="446"/>
      <c r="AA47" s="447"/>
      <c r="AB47" s="448"/>
      <c r="AC47" s="447"/>
      <c r="AD47" s="448"/>
      <c r="AE47" s="446"/>
    </row>
    <row r="48" spans="2:31" ht="12.75">
      <c r="B48" s="440"/>
      <c r="C48" s="429"/>
      <c r="D48" s="434"/>
      <c r="E48" s="429" t="s">
        <v>638</v>
      </c>
      <c r="F48" s="441"/>
      <c r="G48" s="442">
        <v>0</v>
      </c>
      <c r="H48" s="443">
        <v>0</v>
      </c>
      <c r="I48" s="442">
        <v>0</v>
      </c>
      <c r="J48" s="445">
        <v>0</v>
      </c>
      <c r="K48" s="441">
        <v>20</v>
      </c>
      <c r="L48" s="442">
        <v>0</v>
      </c>
      <c r="M48" s="443">
        <v>0</v>
      </c>
      <c r="N48" s="442">
        <v>0</v>
      </c>
      <c r="O48" s="445">
        <v>0</v>
      </c>
      <c r="P48" s="441">
        <v>20</v>
      </c>
      <c r="Q48" s="442">
        <v>0</v>
      </c>
      <c r="R48" s="443">
        <v>0</v>
      </c>
      <c r="S48" s="442">
        <v>0</v>
      </c>
      <c r="T48" s="445">
        <v>0</v>
      </c>
      <c r="U48" s="444">
        <v>20</v>
      </c>
      <c r="V48" s="442">
        <v>0</v>
      </c>
      <c r="W48" s="443">
        <v>0</v>
      </c>
      <c r="X48" s="442">
        <v>0</v>
      </c>
      <c r="Y48" s="443">
        <v>0</v>
      </c>
      <c r="Z48" s="441">
        <v>20</v>
      </c>
      <c r="AA48" s="442">
        <v>0</v>
      </c>
      <c r="AB48" s="443">
        <v>0</v>
      </c>
      <c r="AC48" s="442">
        <v>0</v>
      </c>
      <c r="AD48" s="443">
        <v>0</v>
      </c>
      <c r="AE48" s="441">
        <v>20</v>
      </c>
    </row>
    <row r="49" spans="2:31" ht="12.75">
      <c r="B49" s="440"/>
      <c r="C49" s="429"/>
      <c r="D49" s="434"/>
      <c r="E49" s="429"/>
      <c r="F49" s="446"/>
      <c r="G49" s="447"/>
      <c r="H49" s="448"/>
      <c r="I49" s="447"/>
      <c r="J49" s="449"/>
      <c r="K49" s="446"/>
      <c r="L49" s="447"/>
      <c r="M49" s="448"/>
      <c r="N49" s="447"/>
      <c r="O49" s="449"/>
      <c r="P49" s="446"/>
      <c r="Q49" s="447"/>
      <c r="R49" s="448"/>
      <c r="S49" s="447"/>
      <c r="T49" s="449"/>
      <c r="U49" s="450"/>
      <c r="V49" s="447"/>
      <c r="W49" s="448"/>
      <c r="X49" s="447"/>
      <c r="Y49" s="448"/>
      <c r="Z49" s="446"/>
      <c r="AA49" s="447"/>
      <c r="AB49" s="448"/>
      <c r="AC49" s="447"/>
      <c r="AD49" s="448"/>
      <c r="AE49" s="446"/>
    </row>
    <row r="50" spans="2:31" ht="12.75">
      <c r="B50" s="440"/>
      <c r="C50" s="429"/>
      <c r="D50" s="434" t="s">
        <v>223</v>
      </c>
      <c r="E50" s="429"/>
      <c r="F50" s="446"/>
      <c r="G50" s="447"/>
      <c r="H50" s="448"/>
      <c r="I50" s="447"/>
      <c r="J50" s="449"/>
      <c r="K50" s="446"/>
      <c r="L50" s="447"/>
      <c r="M50" s="448"/>
      <c r="N50" s="447"/>
      <c r="O50" s="449"/>
      <c r="P50" s="446"/>
      <c r="Q50" s="447"/>
      <c r="R50" s="448"/>
      <c r="S50" s="447"/>
      <c r="T50" s="449"/>
      <c r="U50" s="450"/>
      <c r="V50" s="447"/>
      <c r="W50" s="448"/>
      <c r="X50" s="447"/>
      <c r="Y50" s="448"/>
      <c r="Z50" s="446"/>
      <c r="AA50" s="447"/>
      <c r="AB50" s="448"/>
      <c r="AC50" s="447"/>
      <c r="AD50" s="448"/>
      <c r="AE50" s="446"/>
    </row>
    <row r="51" spans="2:31" ht="12.75">
      <c r="B51" s="440"/>
      <c r="C51" s="429"/>
      <c r="D51" s="434"/>
      <c r="E51" s="429" t="s">
        <v>639</v>
      </c>
      <c r="F51" s="441"/>
      <c r="G51" s="442">
        <v>0</v>
      </c>
      <c r="H51" s="443">
        <v>12</v>
      </c>
      <c r="I51" s="442">
        <v>0</v>
      </c>
      <c r="J51" s="445">
        <v>141</v>
      </c>
      <c r="K51" s="441">
        <v>428</v>
      </c>
      <c r="L51" s="442">
        <v>0</v>
      </c>
      <c r="M51" s="443">
        <v>0</v>
      </c>
      <c r="N51" s="442">
        <v>0</v>
      </c>
      <c r="O51" s="445">
        <v>95</v>
      </c>
      <c r="P51" s="441">
        <v>523</v>
      </c>
      <c r="Q51" s="442">
        <v>0</v>
      </c>
      <c r="R51" s="443">
        <v>6</v>
      </c>
      <c r="S51" s="442">
        <v>0</v>
      </c>
      <c r="T51" s="445">
        <v>180</v>
      </c>
      <c r="U51" s="444">
        <v>697</v>
      </c>
      <c r="V51" s="442">
        <v>0</v>
      </c>
      <c r="W51" s="443">
        <v>64</v>
      </c>
      <c r="X51" s="442">
        <v>0</v>
      </c>
      <c r="Y51" s="443">
        <v>64</v>
      </c>
      <c r="Z51" s="441">
        <v>697</v>
      </c>
      <c r="AA51" s="442">
        <v>0</v>
      </c>
      <c r="AB51" s="443">
        <v>45</v>
      </c>
      <c r="AC51" s="442">
        <v>0</v>
      </c>
      <c r="AD51" s="443">
        <v>45</v>
      </c>
      <c r="AE51" s="441">
        <v>697</v>
      </c>
    </row>
    <row r="52" spans="2:31" ht="12.75">
      <c r="B52" s="440"/>
      <c r="C52" s="429"/>
      <c r="D52" s="434"/>
      <c r="E52" s="429" t="s">
        <v>514</v>
      </c>
      <c r="F52" s="441"/>
      <c r="G52" s="442">
        <v>0</v>
      </c>
      <c r="H52" s="443">
        <v>89</v>
      </c>
      <c r="I52" s="442">
        <v>34</v>
      </c>
      <c r="J52" s="445">
        <v>89</v>
      </c>
      <c r="K52" s="441">
        <v>4069</v>
      </c>
      <c r="L52" s="442">
        <v>44</v>
      </c>
      <c r="M52" s="443">
        <v>108</v>
      </c>
      <c r="N52" s="442">
        <v>32</v>
      </c>
      <c r="O52" s="445">
        <v>108</v>
      </c>
      <c r="P52" s="441">
        <v>4057</v>
      </c>
      <c r="Q52" s="442">
        <v>0</v>
      </c>
      <c r="R52" s="443">
        <v>69</v>
      </c>
      <c r="S52" s="442">
        <v>41</v>
      </c>
      <c r="T52" s="445">
        <v>83</v>
      </c>
      <c r="U52" s="444">
        <v>4112</v>
      </c>
      <c r="V52" s="442">
        <v>20</v>
      </c>
      <c r="W52" s="443">
        <v>55</v>
      </c>
      <c r="X52" s="442">
        <v>31</v>
      </c>
      <c r="Y52" s="443">
        <v>55</v>
      </c>
      <c r="Z52" s="441">
        <v>4123</v>
      </c>
      <c r="AA52" s="442">
        <v>19</v>
      </c>
      <c r="AB52" s="443">
        <v>70</v>
      </c>
      <c r="AC52" s="442">
        <v>29</v>
      </c>
      <c r="AD52" s="443">
        <v>70</v>
      </c>
      <c r="AE52" s="441">
        <v>4133</v>
      </c>
    </row>
    <row r="53" spans="2:31" ht="12.75">
      <c r="B53" s="440"/>
      <c r="C53" s="429"/>
      <c r="D53" s="434"/>
      <c r="E53" s="429" t="s">
        <v>515</v>
      </c>
      <c r="F53" s="441"/>
      <c r="G53" s="442">
        <v>0</v>
      </c>
      <c r="H53" s="443">
        <v>4</v>
      </c>
      <c r="I53" s="442">
        <v>0</v>
      </c>
      <c r="J53" s="445">
        <v>32</v>
      </c>
      <c r="K53" s="441">
        <v>225</v>
      </c>
      <c r="L53" s="442">
        <v>0</v>
      </c>
      <c r="M53" s="443">
        <v>8</v>
      </c>
      <c r="N53" s="442">
        <v>0</v>
      </c>
      <c r="O53" s="445">
        <v>17</v>
      </c>
      <c r="P53" s="441">
        <v>234</v>
      </c>
      <c r="Q53" s="442">
        <v>53</v>
      </c>
      <c r="R53" s="443">
        <v>9</v>
      </c>
      <c r="S53" s="442">
        <v>0</v>
      </c>
      <c r="T53" s="445">
        <v>9</v>
      </c>
      <c r="U53" s="444">
        <v>181</v>
      </c>
      <c r="V53" s="442">
        <v>21</v>
      </c>
      <c r="W53" s="443">
        <v>43</v>
      </c>
      <c r="X53" s="442">
        <v>0</v>
      </c>
      <c r="Y53" s="443">
        <v>43</v>
      </c>
      <c r="Z53" s="441">
        <v>160</v>
      </c>
      <c r="AA53" s="442">
        <v>20</v>
      </c>
      <c r="AB53" s="443">
        <v>31</v>
      </c>
      <c r="AC53" s="442">
        <v>0</v>
      </c>
      <c r="AD53" s="443">
        <v>31</v>
      </c>
      <c r="AE53" s="441">
        <v>140</v>
      </c>
    </row>
    <row r="54" spans="2:31" ht="12.75">
      <c r="B54" s="440"/>
      <c r="C54" s="429"/>
      <c r="D54" s="434"/>
      <c r="E54" s="429" t="s">
        <v>516</v>
      </c>
      <c r="F54" s="441"/>
      <c r="G54" s="442">
        <v>69</v>
      </c>
      <c r="H54" s="443">
        <v>19</v>
      </c>
      <c r="I54" s="442">
        <v>5</v>
      </c>
      <c r="J54" s="445">
        <v>19</v>
      </c>
      <c r="K54" s="441">
        <v>9163</v>
      </c>
      <c r="L54" s="442">
        <v>140</v>
      </c>
      <c r="M54" s="443">
        <v>21</v>
      </c>
      <c r="N54" s="442">
        <v>5</v>
      </c>
      <c r="O54" s="445">
        <v>21</v>
      </c>
      <c r="P54" s="441">
        <v>9028</v>
      </c>
      <c r="Q54" s="442">
        <v>124</v>
      </c>
      <c r="R54" s="443">
        <v>17</v>
      </c>
      <c r="S54" s="442">
        <v>4</v>
      </c>
      <c r="T54" s="445">
        <v>17</v>
      </c>
      <c r="U54" s="444">
        <v>8908</v>
      </c>
      <c r="V54" s="442">
        <v>112</v>
      </c>
      <c r="W54" s="443">
        <v>30</v>
      </c>
      <c r="X54" s="442">
        <v>4</v>
      </c>
      <c r="Y54" s="443">
        <v>30</v>
      </c>
      <c r="Z54" s="441">
        <v>8800</v>
      </c>
      <c r="AA54" s="442">
        <v>106</v>
      </c>
      <c r="AB54" s="443">
        <v>100</v>
      </c>
      <c r="AC54" s="442">
        <v>4</v>
      </c>
      <c r="AD54" s="443">
        <v>100</v>
      </c>
      <c r="AE54" s="441">
        <v>8698</v>
      </c>
    </row>
    <row r="55" spans="2:31" ht="12.75">
      <c r="B55" s="440"/>
      <c r="C55" s="429"/>
      <c r="D55" s="434"/>
      <c r="E55" s="429" t="s">
        <v>387</v>
      </c>
      <c r="F55" s="441"/>
      <c r="G55" s="442">
        <v>0</v>
      </c>
      <c r="H55" s="443">
        <v>24</v>
      </c>
      <c r="I55" s="442">
        <v>139</v>
      </c>
      <c r="J55" s="445">
        <v>92</v>
      </c>
      <c r="K55" s="441">
        <v>6613</v>
      </c>
      <c r="L55" s="442">
        <v>0</v>
      </c>
      <c r="M55" s="443">
        <v>23</v>
      </c>
      <c r="N55" s="442">
        <v>104</v>
      </c>
      <c r="O55" s="445">
        <v>72</v>
      </c>
      <c r="P55" s="441">
        <v>6766</v>
      </c>
      <c r="Q55" s="442">
        <v>0</v>
      </c>
      <c r="R55" s="443">
        <v>22</v>
      </c>
      <c r="S55" s="442">
        <v>127</v>
      </c>
      <c r="T55" s="445">
        <v>81</v>
      </c>
      <c r="U55" s="444">
        <v>6952</v>
      </c>
      <c r="V55" s="442">
        <v>0</v>
      </c>
      <c r="W55" s="443">
        <v>132</v>
      </c>
      <c r="X55" s="442">
        <v>97</v>
      </c>
      <c r="Y55" s="443">
        <v>132</v>
      </c>
      <c r="Z55" s="441">
        <v>7049</v>
      </c>
      <c r="AA55" s="442">
        <v>0</v>
      </c>
      <c r="AB55" s="443">
        <v>196</v>
      </c>
      <c r="AC55" s="442">
        <v>92</v>
      </c>
      <c r="AD55" s="443">
        <v>196</v>
      </c>
      <c r="AE55" s="441">
        <v>7141</v>
      </c>
    </row>
    <row r="56" spans="2:31" ht="12.75">
      <c r="B56" s="440"/>
      <c r="C56" s="429"/>
      <c r="D56" s="434"/>
      <c r="E56" s="429" t="s">
        <v>388</v>
      </c>
      <c r="F56" s="441"/>
      <c r="G56" s="442">
        <v>0</v>
      </c>
      <c r="H56" s="443">
        <v>85</v>
      </c>
      <c r="I56" s="442">
        <v>18</v>
      </c>
      <c r="J56" s="445">
        <v>233</v>
      </c>
      <c r="K56" s="441">
        <v>22871</v>
      </c>
      <c r="L56" s="442">
        <v>0</v>
      </c>
      <c r="M56" s="443">
        <v>170</v>
      </c>
      <c r="N56" s="442">
        <v>37</v>
      </c>
      <c r="O56" s="445">
        <v>522</v>
      </c>
      <c r="P56" s="441">
        <v>23260</v>
      </c>
      <c r="Q56" s="442">
        <v>0</v>
      </c>
      <c r="R56" s="443">
        <v>168</v>
      </c>
      <c r="S56" s="442">
        <v>40</v>
      </c>
      <c r="T56" s="445">
        <v>469</v>
      </c>
      <c r="U56" s="444">
        <v>23601</v>
      </c>
      <c r="V56" s="442">
        <v>0</v>
      </c>
      <c r="W56" s="443">
        <v>0</v>
      </c>
      <c r="X56" s="442">
        <v>32</v>
      </c>
      <c r="Y56" s="443">
        <v>0</v>
      </c>
      <c r="Z56" s="441">
        <v>23633</v>
      </c>
      <c r="AA56" s="442">
        <v>0</v>
      </c>
      <c r="AB56" s="443">
        <v>0</v>
      </c>
      <c r="AC56" s="442">
        <v>31</v>
      </c>
      <c r="AD56" s="443">
        <v>0</v>
      </c>
      <c r="AE56" s="441">
        <v>23664</v>
      </c>
    </row>
    <row r="57" spans="2:31" ht="12.75">
      <c r="B57" s="440"/>
      <c r="C57" s="429"/>
      <c r="D57" s="434"/>
      <c r="E57" s="429" t="s">
        <v>641</v>
      </c>
      <c r="F57" s="441"/>
      <c r="G57" s="442">
        <v>0</v>
      </c>
      <c r="H57" s="443">
        <v>0</v>
      </c>
      <c r="I57" s="442">
        <v>0</v>
      </c>
      <c r="J57" s="445">
        <v>0</v>
      </c>
      <c r="K57" s="441">
        <v>20</v>
      </c>
      <c r="L57" s="442">
        <v>0</v>
      </c>
      <c r="M57" s="443">
        <v>1</v>
      </c>
      <c r="N57" s="442">
        <v>0</v>
      </c>
      <c r="O57" s="445">
        <v>2</v>
      </c>
      <c r="P57" s="441">
        <v>21</v>
      </c>
      <c r="Q57" s="442">
        <v>0</v>
      </c>
      <c r="R57" s="443">
        <v>0</v>
      </c>
      <c r="S57" s="442">
        <v>0</v>
      </c>
      <c r="T57" s="445">
        <v>0</v>
      </c>
      <c r="U57" s="444">
        <v>21</v>
      </c>
      <c r="V57" s="442">
        <v>0</v>
      </c>
      <c r="W57" s="443">
        <v>0</v>
      </c>
      <c r="X57" s="442">
        <v>0</v>
      </c>
      <c r="Y57" s="443">
        <v>0</v>
      </c>
      <c r="Z57" s="441">
        <v>21</v>
      </c>
      <c r="AA57" s="442">
        <v>0</v>
      </c>
      <c r="AB57" s="443">
        <v>0</v>
      </c>
      <c r="AC57" s="442">
        <v>0</v>
      </c>
      <c r="AD57" s="443">
        <v>0</v>
      </c>
      <c r="AE57" s="441">
        <v>21</v>
      </c>
    </row>
    <row r="58" spans="2:31" ht="12.75">
      <c r="B58" s="440"/>
      <c r="C58" s="429"/>
      <c r="D58" s="429"/>
      <c r="E58" s="429" t="s">
        <v>254</v>
      </c>
      <c r="F58" s="441"/>
      <c r="G58" s="442">
        <v>0</v>
      </c>
      <c r="H58" s="443">
        <v>0</v>
      </c>
      <c r="I58" s="442">
        <v>0</v>
      </c>
      <c r="J58" s="445">
        <v>0</v>
      </c>
      <c r="K58" s="441">
        <v>0</v>
      </c>
      <c r="L58" s="442">
        <v>0</v>
      </c>
      <c r="M58" s="443">
        <v>0</v>
      </c>
      <c r="N58" s="442">
        <v>0</v>
      </c>
      <c r="O58" s="445">
        <v>0</v>
      </c>
      <c r="P58" s="441">
        <v>0</v>
      </c>
      <c r="Q58" s="442">
        <v>0</v>
      </c>
      <c r="R58" s="443">
        <v>0</v>
      </c>
      <c r="S58" s="442">
        <v>0</v>
      </c>
      <c r="T58" s="445">
        <v>0</v>
      </c>
      <c r="U58" s="444">
        <v>0</v>
      </c>
      <c r="V58" s="442">
        <v>0</v>
      </c>
      <c r="W58" s="443">
        <v>0</v>
      </c>
      <c r="X58" s="442">
        <v>0</v>
      </c>
      <c r="Y58" s="443">
        <v>0</v>
      </c>
      <c r="Z58" s="441">
        <v>0</v>
      </c>
      <c r="AA58" s="442">
        <v>0</v>
      </c>
      <c r="AB58" s="443">
        <v>0</v>
      </c>
      <c r="AC58" s="442">
        <v>0</v>
      </c>
      <c r="AD58" s="443">
        <v>0</v>
      </c>
      <c r="AE58" s="441">
        <v>0</v>
      </c>
    </row>
    <row r="59" spans="2:31" ht="12.75">
      <c r="B59" s="440"/>
      <c r="C59" s="429"/>
      <c r="D59" s="429"/>
      <c r="E59" s="429" t="s">
        <v>134</v>
      </c>
      <c r="F59" s="441"/>
      <c r="G59" s="442">
        <v>0</v>
      </c>
      <c r="H59" s="443">
        <v>0</v>
      </c>
      <c r="I59" s="442">
        <v>0</v>
      </c>
      <c r="J59" s="445">
        <v>0</v>
      </c>
      <c r="K59" s="441">
        <v>0</v>
      </c>
      <c r="L59" s="442">
        <v>0</v>
      </c>
      <c r="M59" s="443">
        <v>0</v>
      </c>
      <c r="N59" s="442">
        <v>0</v>
      </c>
      <c r="O59" s="445">
        <v>0</v>
      </c>
      <c r="P59" s="441">
        <v>0</v>
      </c>
      <c r="Q59" s="442">
        <v>0</v>
      </c>
      <c r="R59" s="443">
        <v>0</v>
      </c>
      <c r="S59" s="442">
        <v>0</v>
      </c>
      <c r="T59" s="445">
        <v>0</v>
      </c>
      <c r="U59" s="444">
        <v>0</v>
      </c>
      <c r="V59" s="442">
        <v>0</v>
      </c>
      <c r="W59" s="443">
        <v>0</v>
      </c>
      <c r="X59" s="442">
        <v>0</v>
      </c>
      <c r="Y59" s="443">
        <v>0</v>
      </c>
      <c r="Z59" s="441">
        <v>0</v>
      </c>
      <c r="AA59" s="442">
        <v>0</v>
      </c>
      <c r="AB59" s="443">
        <v>0</v>
      </c>
      <c r="AC59" s="442">
        <v>0</v>
      </c>
      <c r="AD59" s="443">
        <v>0</v>
      </c>
      <c r="AE59" s="441">
        <v>0</v>
      </c>
    </row>
    <row r="60" spans="2:31" ht="12.75">
      <c r="B60" s="440"/>
      <c r="C60" s="429"/>
      <c r="D60" s="434"/>
      <c r="E60" s="429" t="s">
        <v>135</v>
      </c>
      <c r="F60" s="441"/>
      <c r="G60" s="442">
        <v>0</v>
      </c>
      <c r="H60" s="443">
        <v>0</v>
      </c>
      <c r="I60" s="442">
        <v>0</v>
      </c>
      <c r="J60" s="445">
        <v>0</v>
      </c>
      <c r="K60" s="441">
        <v>0</v>
      </c>
      <c r="L60" s="442">
        <v>0</v>
      </c>
      <c r="M60" s="443">
        <v>0</v>
      </c>
      <c r="N60" s="442">
        <v>0</v>
      </c>
      <c r="O60" s="445">
        <v>0</v>
      </c>
      <c r="P60" s="441">
        <v>0</v>
      </c>
      <c r="Q60" s="442">
        <v>0</v>
      </c>
      <c r="R60" s="443">
        <v>0</v>
      </c>
      <c r="S60" s="442">
        <v>0</v>
      </c>
      <c r="T60" s="445">
        <v>0</v>
      </c>
      <c r="U60" s="444">
        <v>0</v>
      </c>
      <c r="V60" s="442">
        <v>0</v>
      </c>
      <c r="W60" s="443">
        <v>0</v>
      </c>
      <c r="X60" s="442">
        <v>0</v>
      </c>
      <c r="Y60" s="443">
        <v>0</v>
      </c>
      <c r="Z60" s="441">
        <v>0</v>
      </c>
      <c r="AA60" s="442">
        <v>0</v>
      </c>
      <c r="AB60" s="443">
        <v>0</v>
      </c>
      <c r="AC60" s="442">
        <v>0</v>
      </c>
      <c r="AD60" s="443">
        <v>0</v>
      </c>
      <c r="AE60" s="441">
        <v>0</v>
      </c>
    </row>
    <row r="61" spans="2:31" ht="12.75">
      <c r="B61" s="440"/>
      <c r="C61" s="429"/>
      <c r="D61" s="434"/>
      <c r="E61" s="429" t="s">
        <v>136</v>
      </c>
      <c r="F61" s="441"/>
      <c r="G61" s="442">
        <v>0</v>
      </c>
      <c r="H61" s="443">
        <v>0</v>
      </c>
      <c r="I61" s="442">
        <v>0</v>
      </c>
      <c r="J61" s="445">
        <v>0</v>
      </c>
      <c r="K61" s="441">
        <v>0</v>
      </c>
      <c r="L61" s="442">
        <v>0</v>
      </c>
      <c r="M61" s="443">
        <v>0</v>
      </c>
      <c r="N61" s="442">
        <v>0</v>
      </c>
      <c r="O61" s="445">
        <v>0</v>
      </c>
      <c r="P61" s="441">
        <v>0</v>
      </c>
      <c r="Q61" s="442">
        <v>0</v>
      </c>
      <c r="R61" s="443">
        <v>0</v>
      </c>
      <c r="S61" s="442">
        <v>0</v>
      </c>
      <c r="T61" s="445">
        <v>0</v>
      </c>
      <c r="U61" s="444">
        <v>0</v>
      </c>
      <c r="V61" s="442">
        <v>0</v>
      </c>
      <c r="W61" s="443">
        <v>0</v>
      </c>
      <c r="X61" s="442">
        <v>0</v>
      </c>
      <c r="Y61" s="443">
        <v>0</v>
      </c>
      <c r="Z61" s="441">
        <v>0</v>
      </c>
      <c r="AA61" s="442">
        <v>0</v>
      </c>
      <c r="AB61" s="443">
        <v>0</v>
      </c>
      <c r="AC61" s="442">
        <v>0</v>
      </c>
      <c r="AD61" s="443">
        <v>0</v>
      </c>
      <c r="AE61" s="441">
        <v>0</v>
      </c>
    </row>
    <row r="62" spans="2:31" ht="12.75">
      <c r="B62" s="440"/>
      <c r="C62" s="429"/>
      <c r="D62" s="434"/>
      <c r="E62" s="429" t="s">
        <v>139</v>
      </c>
      <c r="F62" s="441"/>
      <c r="G62" s="442">
        <v>0</v>
      </c>
      <c r="H62" s="443">
        <v>0</v>
      </c>
      <c r="I62" s="442">
        <v>0</v>
      </c>
      <c r="J62" s="445">
        <v>0</v>
      </c>
      <c r="K62" s="441">
        <v>0</v>
      </c>
      <c r="L62" s="442">
        <v>0</v>
      </c>
      <c r="M62" s="443">
        <v>0</v>
      </c>
      <c r="N62" s="442">
        <v>0</v>
      </c>
      <c r="O62" s="445">
        <v>0</v>
      </c>
      <c r="P62" s="441">
        <v>0</v>
      </c>
      <c r="Q62" s="442">
        <v>0</v>
      </c>
      <c r="R62" s="443">
        <v>0</v>
      </c>
      <c r="S62" s="442">
        <v>0</v>
      </c>
      <c r="T62" s="445">
        <v>0</v>
      </c>
      <c r="U62" s="444">
        <v>0</v>
      </c>
      <c r="V62" s="442">
        <v>0</v>
      </c>
      <c r="W62" s="443">
        <v>0</v>
      </c>
      <c r="X62" s="442">
        <v>0</v>
      </c>
      <c r="Y62" s="443">
        <v>0</v>
      </c>
      <c r="Z62" s="441">
        <v>0</v>
      </c>
      <c r="AA62" s="442">
        <v>0</v>
      </c>
      <c r="AB62" s="443">
        <v>0</v>
      </c>
      <c r="AC62" s="442">
        <v>0</v>
      </c>
      <c r="AD62" s="443">
        <v>0</v>
      </c>
      <c r="AE62" s="441">
        <v>0</v>
      </c>
    </row>
    <row r="63" spans="2:31" ht="12.75">
      <c r="B63" s="440"/>
      <c r="C63" s="429"/>
      <c r="D63" s="434"/>
      <c r="E63" s="429" t="s">
        <v>394</v>
      </c>
      <c r="F63" s="441"/>
      <c r="G63" s="442">
        <v>0</v>
      </c>
      <c r="H63" s="443">
        <v>0</v>
      </c>
      <c r="I63" s="442">
        <v>0</v>
      </c>
      <c r="J63" s="445">
        <v>0</v>
      </c>
      <c r="K63" s="441">
        <v>0</v>
      </c>
      <c r="L63" s="442">
        <v>0</v>
      </c>
      <c r="M63" s="443">
        <v>0</v>
      </c>
      <c r="N63" s="442">
        <v>0</v>
      </c>
      <c r="O63" s="445">
        <v>0</v>
      </c>
      <c r="P63" s="441">
        <v>0</v>
      </c>
      <c r="Q63" s="442">
        <v>0</v>
      </c>
      <c r="R63" s="443">
        <v>0</v>
      </c>
      <c r="S63" s="442">
        <v>0</v>
      </c>
      <c r="T63" s="445">
        <v>0</v>
      </c>
      <c r="U63" s="444">
        <v>0</v>
      </c>
      <c r="V63" s="442">
        <v>0</v>
      </c>
      <c r="W63" s="443">
        <v>0</v>
      </c>
      <c r="X63" s="442">
        <v>0</v>
      </c>
      <c r="Y63" s="443">
        <v>0</v>
      </c>
      <c r="Z63" s="441">
        <v>0</v>
      </c>
      <c r="AA63" s="442">
        <v>0</v>
      </c>
      <c r="AB63" s="443">
        <v>0</v>
      </c>
      <c r="AC63" s="442">
        <v>0</v>
      </c>
      <c r="AD63" s="443">
        <v>0</v>
      </c>
      <c r="AE63" s="441">
        <v>0</v>
      </c>
    </row>
    <row r="64" spans="2:31" ht="12.75">
      <c r="B64" s="440"/>
      <c r="C64" s="429"/>
      <c r="D64" s="434"/>
      <c r="E64" s="429" t="s">
        <v>257</v>
      </c>
      <c r="F64" s="441"/>
      <c r="G64" s="442">
        <v>0</v>
      </c>
      <c r="H64" s="443">
        <v>0</v>
      </c>
      <c r="I64" s="442">
        <v>0</v>
      </c>
      <c r="J64" s="445">
        <v>0</v>
      </c>
      <c r="K64" s="441">
        <v>0</v>
      </c>
      <c r="L64" s="442">
        <v>0</v>
      </c>
      <c r="M64" s="443">
        <v>0</v>
      </c>
      <c r="N64" s="442">
        <v>0</v>
      </c>
      <c r="O64" s="445">
        <v>0</v>
      </c>
      <c r="P64" s="441">
        <v>0</v>
      </c>
      <c r="Q64" s="442">
        <v>0</v>
      </c>
      <c r="R64" s="443">
        <v>0</v>
      </c>
      <c r="S64" s="442">
        <v>0</v>
      </c>
      <c r="T64" s="445">
        <v>0</v>
      </c>
      <c r="U64" s="444">
        <v>0</v>
      </c>
      <c r="V64" s="442">
        <v>0</v>
      </c>
      <c r="W64" s="443">
        <v>0</v>
      </c>
      <c r="X64" s="442">
        <v>0</v>
      </c>
      <c r="Y64" s="443">
        <v>0</v>
      </c>
      <c r="Z64" s="441">
        <v>0</v>
      </c>
      <c r="AA64" s="442">
        <v>0</v>
      </c>
      <c r="AB64" s="443">
        <v>0</v>
      </c>
      <c r="AC64" s="442">
        <v>0</v>
      </c>
      <c r="AD64" s="443">
        <v>0</v>
      </c>
      <c r="AE64" s="441">
        <v>0</v>
      </c>
    </row>
    <row r="65" spans="2:31" ht="12.75">
      <c r="B65" s="440"/>
      <c r="C65" s="429"/>
      <c r="D65" s="434"/>
      <c r="E65" s="429"/>
      <c r="F65" s="446"/>
      <c r="G65" s="447"/>
      <c r="H65" s="448"/>
      <c r="I65" s="447"/>
      <c r="J65" s="449"/>
      <c r="K65" s="446"/>
      <c r="L65" s="447"/>
      <c r="M65" s="448"/>
      <c r="N65" s="447"/>
      <c r="O65" s="449"/>
      <c r="P65" s="446"/>
      <c r="Q65" s="447"/>
      <c r="R65" s="448"/>
      <c r="S65" s="447"/>
      <c r="T65" s="449"/>
      <c r="U65" s="450"/>
      <c r="V65" s="447"/>
      <c r="W65" s="448"/>
      <c r="X65" s="447"/>
      <c r="Y65" s="448"/>
      <c r="Z65" s="446"/>
      <c r="AA65" s="447"/>
      <c r="AB65" s="448"/>
      <c r="AC65" s="447"/>
      <c r="AD65" s="448"/>
      <c r="AE65" s="446"/>
    </row>
    <row r="66" spans="2:31" ht="12.75">
      <c r="B66" s="440"/>
      <c r="C66" s="429"/>
      <c r="D66" s="434" t="s">
        <v>258</v>
      </c>
      <c r="E66" s="429"/>
      <c r="F66" s="446"/>
      <c r="G66" s="447"/>
      <c r="H66" s="448"/>
      <c r="I66" s="447"/>
      <c r="J66" s="449"/>
      <c r="K66" s="446"/>
      <c r="L66" s="447"/>
      <c r="M66" s="448"/>
      <c r="N66" s="447"/>
      <c r="O66" s="449"/>
      <c r="P66" s="446"/>
      <c r="Q66" s="447"/>
      <c r="R66" s="448"/>
      <c r="S66" s="447"/>
      <c r="T66" s="449"/>
      <c r="U66" s="450"/>
      <c r="V66" s="447"/>
      <c r="W66" s="448"/>
      <c r="X66" s="447"/>
      <c r="Y66" s="448"/>
      <c r="Z66" s="446"/>
      <c r="AA66" s="447"/>
      <c r="AB66" s="448"/>
      <c r="AC66" s="447"/>
      <c r="AD66" s="448"/>
      <c r="AE66" s="446"/>
    </row>
    <row r="67" spans="2:31" ht="12.75">
      <c r="B67" s="440"/>
      <c r="C67" s="429"/>
      <c r="D67" s="434"/>
      <c r="E67" s="429" t="s">
        <v>259</v>
      </c>
      <c r="F67" s="441"/>
      <c r="G67" s="442">
        <v>0</v>
      </c>
      <c r="H67" s="443">
        <v>347</v>
      </c>
      <c r="I67" s="442">
        <v>210</v>
      </c>
      <c r="J67" s="445">
        <v>566</v>
      </c>
      <c r="K67" s="441">
        <v>37668</v>
      </c>
      <c r="L67" s="442">
        <v>97</v>
      </c>
      <c r="M67" s="443">
        <v>625</v>
      </c>
      <c r="N67" s="442">
        <v>231</v>
      </c>
      <c r="O67" s="445">
        <v>625</v>
      </c>
      <c r="P67" s="441">
        <v>37802</v>
      </c>
      <c r="Q67" s="442">
        <v>84</v>
      </c>
      <c r="R67" s="443">
        <v>535</v>
      </c>
      <c r="S67" s="442">
        <v>199</v>
      </c>
      <c r="T67" s="445">
        <v>535</v>
      </c>
      <c r="U67" s="444">
        <v>37917</v>
      </c>
      <c r="V67" s="442">
        <v>77</v>
      </c>
      <c r="W67" s="443">
        <v>190</v>
      </c>
      <c r="X67" s="442">
        <v>182</v>
      </c>
      <c r="Y67" s="443">
        <v>190</v>
      </c>
      <c r="Z67" s="441">
        <v>38022</v>
      </c>
      <c r="AA67" s="442">
        <v>73</v>
      </c>
      <c r="AB67" s="443">
        <v>190</v>
      </c>
      <c r="AC67" s="442">
        <v>173</v>
      </c>
      <c r="AD67" s="443">
        <v>190</v>
      </c>
      <c r="AE67" s="441">
        <v>38122</v>
      </c>
    </row>
    <row r="68" spans="2:31" ht="12.75">
      <c r="B68" s="440"/>
      <c r="C68" s="429"/>
      <c r="D68" s="434"/>
      <c r="E68" s="429" t="s">
        <v>260</v>
      </c>
      <c r="F68" s="441"/>
      <c r="G68" s="442">
        <v>0</v>
      </c>
      <c r="H68" s="443">
        <v>96</v>
      </c>
      <c r="I68" s="442">
        <v>150</v>
      </c>
      <c r="J68" s="445">
        <v>161</v>
      </c>
      <c r="K68" s="441">
        <v>12372</v>
      </c>
      <c r="L68" s="442">
        <v>0</v>
      </c>
      <c r="M68" s="443">
        <v>146</v>
      </c>
      <c r="N68" s="442">
        <v>143</v>
      </c>
      <c r="O68" s="445">
        <v>154</v>
      </c>
      <c r="P68" s="441">
        <v>12523</v>
      </c>
      <c r="Q68" s="442">
        <v>0</v>
      </c>
      <c r="R68" s="443">
        <v>136</v>
      </c>
      <c r="S68" s="442">
        <v>137</v>
      </c>
      <c r="T68" s="445">
        <v>147</v>
      </c>
      <c r="U68" s="444">
        <v>12671</v>
      </c>
      <c r="V68" s="442">
        <v>0</v>
      </c>
      <c r="W68" s="443">
        <v>40</v>
      </c>
      <c r="X68" s="442">
        <v>118</v>
      </c>
      <c r="Y68" s="443">
        <v>40</v>
      </c>
      <c r="Z68" s="441">
        <v>12789</v>
      </c>
      <c r="AA68" s="442">
        <v>0</v>
      </c>
      <c r="AB68" s="443">
        <v>40</v>
      </c>
      <c r="AC68" s="442">
        <v>112</v>
      </c>
      <c r="AD68" s="443">
        <v>40</v>
      </c>
      <c r="AE68" s="441">
        <v>12901</v>
      </c>
    </row>
    <row r="69" spans="2:31" ht="12.75">
      <c r="B69" s="440"/>
      <c r="C69" s="429"/>
      <c r="D69" s="434"/>
      <c r="E69" s="429" t="s">
        <v>261</v>
      </c>
      <c r="F69" s="441"/>
      <c r="G69" s="442">
        <v>0</v>
      </c>
      <c r="H69" s="443">
        <v>0</v>
      </c>
      <c r="I69" s="442">
        <v>0</v>
      </c>
      <c r="J69" s="445">
        <v>0</v>
      </c>
      <c r="K69" s="441">
        <v>0</v>
      </c>
      <c r="L69" s="442">
        <v>0</v>
      </c>
      <c r="M69" s="443">
        <v>0</v>
      </c>
      <c r="N69" s="442">
        <v>0</v>
      </c>
      <c r="O69" s="445">
        <v>0</v>
      </c>
      <c r="P69" s="441">
        <v>0</v>
      </c>
      <c r="Q69" s="442">
        <v>0</v>
      </c>
      <c r="R69" s="443">
        <v>0</v>
      </c>
      <c r="S69" s="442">
        <v>0</v>
      </c>
      <c r="T69" s="445">
        <v>0</v>
      </c>
      <c r="U69" s="444">
        <v>0</v>
      </c>
      <c r="V69" s="442">
        <v>0</v>
      </c>
      <c r="W69" s="443">
        <v>0</v>
      </c>
      <c r="X69" s="442">
        <v>0</v>
      </c>
      <c r="Y69" s="443">
        <v>0</v>
      </c>
      <c r="Z69" s="441">
        <v>0</v>
      </c>
      <c r="AA69" s="442">
        <v>0</v>
      </c>
      <c r="AB69" s="443">
        <v>0</v>
      </c>
      <c r="AC69" s="442">
        <v>0</v>
      </c>
      <c r="AD69" s="443">
        <v>0</v>
      </c>
      <c r="AE69" s="441">
        <v>0</v>
      </c>
    </row>
    <row r="70" spans="2:31" ht="12.75">
      <c r="B70" s="440"/>
      <c r="C70" s="429"/>
      <c r="D70" s="434"/>
      <c r="E70" s="429" t="s">
        <v>262</v>
      </c>
      <c r="F70" s="441"/>
      <c r="G70" s="442">
        <v>0</v>
      </c>
      <c r="H70" s="443">
        <v>0</v>
      </c>
      <c r="I70" s="442">
        <v>0</v>
      </c>
      <c r="J70" s="445">
        <v>0</v>
      </c>
      <c r="K70" s="441">
        <v>0</v>
      </c>
      <c r="L70" s="442">
        <v>0</v>
      </c>
      <c r="M70" s="443">
        <v>0</v>
      </c>
      <c r="N70" s="442">
        <v>0</v>
      </c>
      <c r="O70" s="445">
        <v>0</v>
      </c>
      <c r="P70" s="441">
        <v>0</v>
      </c>
      <c r="Q70" s="442">
        <v>0</v>
      </c>
      <c r="R70" s="443">
        <v>0</v>
      </c>
      <c r="S70" s="442">
        <v>0</v>
      </c>
      <c r="T70" s="445">
        <v>0</v>
      </c>
      <c r="U70" s="444">
        <v>0</v>
      </c>
      <c r="V70" s="442">
        <v>0</v>
      </c>
      <c r="W70" s="443">
        <v>0</v>
      </c>
      <c r="X70" s="442">
        <v>0</v>
      </c>
      <c r="Y70" s="443">
        <v>0</v>
      </c>
      <c r="Z70" s="441">
        <v>0</v>
      </c>
      <c r="AA70" s="442">
        <v>0</v>
      </c>
      <c r="AB70" s="443">
        <v>0</v>
      </c>
      <c r="AC70" s="442">
        <v>0</v>
      </c>
      <c r="AD70" s="443">
        <v>0</v>
      </c>
      <c r="AE70" s="441">
        <v>0</v>
      </c>
    </row>
    <row r="71" spans="2:31" ht="13.5" thickBot="1">
      <c r="B71" s="417"/>
      <c r="C71" s="418"/>
      <c r="D71" s="418"/>
      <c r="E71" s="418"/>
      <c r="F71" s="451"/>
      <c r="G71" s="452"/>
      <c r="H71" s="453"/>
      <c r="I71" s="452"/>
      <c r="J71" s="454"/>
      <c r="K71" s="455"/>
      <c r="L71" s="452"/>
      <c r="M71" s="453"/>
      <c r="N71" s="452"/>
      <c r="O71" s="454"/>
      <c r="P71" s="455"/>
      <c r="Q71" s="452"/>
      <c r="R71" s="453"/>
      <c r="S71" s="452"/>
      <c r="T71" s="454"/>
      <c r="U71" s="456"/>
      <c r="V71" s="452"/>
      <c r="W71" s="453"/>
      <c r="X71" s="452"/>
      <c r="Y71" s="453"/>
      <c r="Z71" s="455"/>
      <c r="AA71" s="452"/>
      <c r="AB71" s="453"/>
      <c r="AC71" s="452"/>
      <c r="AD71" s="453"/>
      <c r="AE71" s="455"/>
    </row>
    <row r="72" spans="2:31" ht="12.75">
      <c r="B72" s="457"/>
      <c r="C72" s="458" t="s">
        <v>272</v>
      </c>
      <c r="D72" s="458"/>
      <c r="E72" s="459"/>
      <c r="F72" s="460"/>
      <c r="G72" s="461"/>
      <c r="H72" s="462"/>
      <c r="I72" s="461"/>
      <c r="J72" s="463"/>
      <c r="K72" s="460"/>
      <c r="L72" s="461"/>
      <c r="M72" s="462"/>
      <c r="N72" s="461"/>
      <c r="O72" s="463"/>
      <c r="P72" s="460"/>
      <c r="Q72" s="461"/>
      <c r="R72" s="462"/>
      <c r="S72" s="461"/>
      <c r="T72" s="463"/>
      <c r="U72" s="464"/>
      <c r="V72" s="461"/>
      <c r="W72" s="462"/>
      <c r="X72" s="461"/>
      <c r="Y72" s="462"/>
      <c r="Z72" s="460"/>
      <c r="AA72" s="461"/>
      <c r="AB72" s="462"/>
      <c r="AC72" s="461"/>
      <c r="AD72" s="462"/>
      <c r="AE72" s="460"/>
    </row>
    <row r="73" spans="2:31" ht="12.75">
      <c r="B73" s="440"/>
      <c r="C73" s="429"/>
      <c r="D73" s="434" t="s">
        <v>166</v>
      </c>
      <c r="E73" s="429"/>
      <c r="F73" s="446"/>
      <c r="G73" s="447"/>
      <c r="H73" s="448"/>
      <c r="I73" s="447"/>
      <c r="J73" s="449"/>
      <c r="K73" s="446"/>
      <c r="L73" s="447"/>
      <c r="M73" s="448"/>
      <c r="N73" s="447"/>
      <c r="O73" s="449"/>
      <c r="P73" s="446"/>
      <c r="Q73" s="447"/>
      <c r="R73" s="448"/>
      <c r="S73" s="447"/>
      <c r="T73" s="449"/>
      <c r="U73" s="450"/>
      <c r="V73" s="447"/>
      <c r="W73" s="448"/>
      <c r="X73" s="447"/>
      <c r="Y73" s="448"/>
      <c r="Z73" s="446"/>
      <c r="AA73" s="447"/>
      <c r="AB73" s="448"/>
      <c r="AC73" s="447"/>
      <c r="AD73" s="448"/>
      <c r="AE73" s="446"/>
    </row>
    <row r="74" spans="2:31" ht="12.75">
      <c r="B74" s="440"/>
      <c r="C74" s="429"/>
      <c r="D74" s="429"/>
      <c r="E74" s="429" t="s">
        <v>273</v>
      </c>
      <c r="F74" s="441"/>
      <c r="G74" s="442">
        <v>0</v>
      </c>
      <c r="H74" s="443">
        <v>3</v>
      </c>
      <c r="I74" s="442">
        <v>0</v>
      </c>
      <c r="J74" s="445">
        <v>3</v>
      </c>
      <c r="K74" s="441">
        <v>2792</v>
      </c>
      <c r="L74" s="442">
        <v>0</v>
      </c>
      <c r="M74" s="443">
        <v>51</v>
      </c>
      <c r="N74" s="442">
        <v>0</v>
      </c>
      <c r="O74" s="445">
        <v>45</v>
      </c>
      <c r="P74" s="441">
        <v>2786</v>
      </c>
      <c r="Q74" s="442">
        <v>0</v>
      </c>
      <c r="R74" s="443">
        <v>30</v>
      </c>
      <c r="S74" s="442">
        <v>13</v>
      </c>
      <c r="T74" s="445">
        <v>30</v>
      </c>
      <c r="U74" s="444">
        <v>2799</v>
      </c>
      <c r="V74" s="442">
        <v>0</v>
      </c>
      <c r="W74" s="443">
        <v>0</v>
      </c>
      <c r="X74" s="442">
        <v>6</v>
      </c>
      <c r="Y74" s="443">
        <v>0</v>
      </c>
      <c r="Z74" s="441">
        <v>2805</v>
      </c>
      <c r="AA74" s="442">
        <v>0</v>
      </c>
      <c r="AB74" s="443">
        <v>0</v>
      </c>
      <c r="AC74" s="442">
        <v>3</v>
      </c>
      <c r="AD74" s="443">
        <v>0</v>
      </c>
      <c r="AE74" s="441">
        <v>2808</v>
      </c>
    </row>
    <row r="75" spans="2:31" ht="12.75">
      <c r="B75" s="440"/>
      <c r="C75" s="429"/>
      <c r="D75" s="434"/>
      <c r="E75" s="429" t="s">
        <v>274</v>
      </c>
      <c r="F75" s="441"/>
      <c r="G75" s="442">
        <v>0</v>
      </c>
      <c r="H75" s="443">
        <v>0</v>
      </c>
      <c r="I75" s="442">
        <v>0</v>
      </c>
      <c r="J75" s="445">
        <v>0</v>
      </c>
      <c r="K75" s="441">
        <v>101</v>
      </c>
      <c r="L75" s="442">
        <v>0</v>
      </c>
      <c r="M75" s="443">
        <v>0</v>
      </c>
      <c r="N75" s="442">
        <v>0</v>
      </c>
      <c r="O75" s="445">
        <v>0</v>
      </c>
      <c r="P75" s="441">
        <v>101</v>
      </c>
      <c r="Q75" s="442">
        <v>0</v>
      </c>
      <c r="R75" s="443">
        <v>0</v>
      </c>
      <c r="S75" s="442">
        <v>0</v>
      </c>
      <c r="T75" s="445">
        <v>0</v>
      </c>
      <c r="U75" s="444">
        <v>101</v>
      </c>
      <c r="V75" s="442">
        <v>0</v>
      </c>
      <c r="W75" s="443">
        <v>0</v>
      </c>
      <c r="X75" s="442">
        <v>0</v>
      </c>
      <c r="Y75" s="443">
        <v>0</v>
      </c>
      <c r="Z75" s="441">
        <v>101</v>
      </c>
      <c r="AA75" s="442">
        <v>0</v>
      </c>
      <c r="AB75" s="443">
        <v>0</v>
      </c>
      <c r="AC75" s="442">
        <v>0</v>
      </c>
      <c r="AD75" s="443">
        <v>0</v>
      </c>
      <c r="AE75" s="441">
        <v>101</v>
      </c>
    </row>
    <row r="76" spans="2:31" ht="12.75">
      <c r="B76" s="440"/>
      <c r="C76" s="429"/>
      <c r="D76" s="434"/>
      <c r="E76" s="429" t="s">
        <v>275</v>
      </c>
      <c r="F76" s="441"/>
      <c r="G76" s="442">
        <v>0</v>
      </c>
      <c r="H76" s="443">
        <v>0</v>
      </c>
      <c r="I76" s="442">
        <v>0</v>
      </c>
      <c r="J76" s="445">
        <v>0</v>
      </c>
      <c r="K76" s="441">
        <v>0</v>
      </c>
      <c r="L76" s="442">
        <v>0</v>
      </c>
      <c r="M76" s="443">
        <v>0</v>
      </c>
      <c r="N76" s="442">
        <v>0</v>
      </c>
      <c r="O76" s="445">
        <v>0</v>
      </c>
      <c r="P76" s="441">
        <v>0</v>
      </c>
      <c r="Q76" s="442">
        <v>0</v>
      </c>
      <c r="R76" s="443">
        <v>0</v>
      </c>
      <c r="S76" s="442">
        <v>0</v>
      </c>
      <c r="T76" s="445">
        <v>0</v>
      </c>
      <c r="U76" s="444">
        <v>0</v>
      </c>
      <c r="V76" s="442">
        <v>0</v>
      </c>
      <c r="W76" s="443">
        <v>0</v>
      </c>
      <c r="X76" s="442">
        <v>0</v>
      </c>
      <c r="Y76" s="443">
        <v>0</v>
      </c>
      <c r="Z76" s="441">
        <v>0</v>
      </c>
      <c r="AA76" s="442">
        <v>0</v>
      </c>
      <c r="AB76" s="443">
        <v>0</v>
      </c>
      <c r="AC76" s="442">
        <v>0</v>
      </c>
      <c r="AD76" s="443">
        <v>0</v>
      </c>
      <c r="AE76" s="441">
        <v>0</v>
      </c>
    </row>
    <row r="77" spans="2:31" ht="12.75">
      <c r="B77" s="440"/>
      <c r="C77" s="429"/>
      <c r="D77" s="434"/>
      <c r="E77" s="429" t="s">
        <v>276</v>
      </c>
      <c r="F77" s="441"/>
      <c r="G77" s="442">
        <v>0</v>
      </c>
      <c r="H77" s="443">
        <v>0</v>
      </c>
      <c r="I77" s="442">
        <v>0</v>
      </c>
      <c r="J77" s="445">
        <v>0</v>
      </c>
      <c r="K77" s="441">
        <v>0</v>
      </c>
      <c r="L77" s="442">
        <v>0</v>
      </c>
      <c r="M77" s="443">
        <v>0</v>
      </c>
      <c r="N77" s="442">
        <v>0</v>
      </c>
      <c r="O77" s="445">
        <v>0</v>
      </c>
      <c r="P77" s="441">
        <v>0</v>
      </c>
      <c r="Q77" s="442">
        <v>0</v>
      </c>
      <c r="R77" s="443">
        <v>0</v>
      </c>
      <c r="S77" s="442">
        <v>0</v>
      </c>
      <c r="T77" s="445">
        <v>0</v>
      </c>
      <c r="U77" s="444">
        <v>0</v>
      </c>
      <c r="V77" s="442">
        <v>0</v>
      </c>
      <c r="W77" s="443">
        <v>0</v>
      </c>
      <c r="X77" s="442">
        <v>0</v>
      </c>
      <c r="Y77" s="443">
        <v>0</v>
      </c>
      <c r="Z77" s="441">
        <v>0</v>
      </c>
      <c r="AA77" s="442">
        <v>0</v>
      </c>
      <c r="AB77" s="443">
        <v>0</v>
      </c>
      <c r="AC77" s="442">
        <v>0</v>
      </c>
      <c r="AD77" s="443">
        <v>0</v>
      </c>
      <c r="AE77" s="441">
        <v>0</v>
      </c>
    </row>
    <row r="78" spans="2:31" ht="12.75">
      <c r="B78" s="440"/>
      <c r="C78" s="429"/>
      <c r="D78" s="434"/>
      <c r="E78" s="429"/>
      <c r="F78" s="446"/>
      <c r="G78" s="447"/>
      <c r="H78" s="448"/>
      <c r="I78" s="447"/>
      <c r="J78" s="449"/>
      <c r="K78" s="446"/>
      <c r="L78" s="447"/>
      <c r="M78" s="448"/>
      <c r="N78" s="447"/>
      <c r="O78" s="449"/>
      <c r="P78" s="446"/>
      <c r="Q78" s="447"/>
      <c r="R78" s="448"/>
      <c r="S78" s="447"/>
      <c r="T78" s="449"/>
      <c r="U78" s="450"/>
      <c r="V78" s="447"/>
      <c r="W78" s="448"/>
      <c r="X78" s="447"/>
      <c r="Y78" s="448"/>
      <c r="Z78" s="446"/>
      <c r="AA78" s="447"/>
      <c r="AB78" s="448"/>
      <c r="AC78" s="447"/>
      <c r="AD78" s="448"/>
      <c r="AE78" s="446"/>
    </row>
    <row r="79" spans="2:31" ht="12.75">
      <c r="B79" s="440"/>
      <c r="C79" s="429"/>
      <c r="D79" s="434" t="s">
        <v>608</v>
      </c>
      <c r="E79" s="429"/>
      <c r="F79" s="446"/>
      <c r="G79" s="447"/>
      <c r="H79" s="448"/>
      <c r="I79" s="447"/>
      <c r="J79" s="449"/>
      <c r="K79" s="446"/>
      <c r="L79" s="447"/>
      <c r="M79" s="448"/>
      <c r="N79" s="447"/>
      <c r="O79" s="449"/>
      <c r="P79" s="446"/>
      <c r="Q79" s="447"/>
      <c r="R79" s="448"/>
      <c r="S79" s="447"/>
      <c r="T79" s="449"/>
      <c r="U79" s="450"/>
      <c r="V79" s="447"/>
      <c r="W79" s="448"/>
      <c r="X79" s="447"/>
      <c r="Y79" s="448"/>
      <c r="Z79" s="446"/>
      <c r="AA79" s="447"/>
      <c r="AB79" s="448"/>
      <c r="AC79" s="447"/>
      <c r="AD79" s="448"/>
      <c r="AE79" s="446"/>
    </row>
    <row r="80" spans="2:31" ht="12.75">
      <c r="B80" s="440"/>
      <c r="C80" s="429"/>
      <c r="D80" s="429"/>
      <c r="E80" s="429" t="s">
        <v>277</v>
      </c>
      <c r="F80" s="441"/>
      <c r="G80" s="442">
        <v>0</v>
      </c>
      <c r="H80" s="443">
        <v>228</v>
      </c>
      <c r="I80" s="442">
        <v>0</v>
      </c>
      <c r="J80" s="445">
        <v>220</v>
      </c>
      <c r="K80" s="441">
        <v>29214</v>
      </c>
      <c r="L80" s="442">
        <v>0</v>
      </c>
      <c r="M80" s="443">
        <v>339</v>
      </c>
      <c r="N80" s="442">
        <v>0</v>
      </c>
      <c r="O80" s="445">
        <v>281</v>
      </c>
      <c r="P80" s="441">
        <v>29156</v>
      </c>
      <c r="Q80" s="442">
        <v>0</v>
      </c>
      <c r="R80" s="443">
        <v>196</v>
      </c>
      <c r="S80" s="442">
        <v>130</v>
      </c>
      <c r="T80" s="445">
        <v>196</v>
      </c>
      <c r="U80" s="444">
        <v>29286</v>
      </c>
      <c r="V80" s="442">
        <v>0</v>
      </c>
      <c r="W80" s="443">
        <v>200</v>
      </c>
      <c r="X80" s="442">
        <v>48</v>
      </c>
      <c r="Y80" s="443">
        <v>200</v>
      </c>
      <c r="Z80" s="441">
        <v>29334</v>
      </c>
      <c r="AA80" s="442">
        <v>0</v>
      </c>
      <c r="AB80" s="443">
        <v>160</v>
      </c>
      <c r="AC80" s="442">
        <v>24</v>
      </c>
      <c r="AD80" s="443">
        <v>160</v>
      </c>
      <c r="AE80" s="441">
        <v>29358</v>
      </c>
    </row>
    <row r="81" spans="2:31" ht="12.75">
      <c r="B81" s="440"/>
      <c r="C81" s="429"/>
      <c r="D81" s="429"/>
      <c r="E81" s="429" t="s">
        <v>278</v>
      </c>
      <c r="F81" s="441"/>
      <c r="G81" s="442">
        <v>0</v>
      </c>
      <c r="H81" s="443">
        <v>0</v>
      </c>
      <c r="I81" s="442">
        <v>0</v>
      </c>
      <c r="J81" s="445">
        <v>0</v>
      </c>
      <c r="K81" s="441">
        <v>431</v>
      </c>
      <c r="L81" s="442">
        <v>0</v>
      </c>
      <c r="M81" s="443">
        <v>0</v>
      </c>
      <c r="N81" s="442">
        <v>0</v>
      </c>
      <c r="O81" s="445">
        <v>0</v>
      </c>
      <c r="P81" s="441">
        <v>431</v>
      </c>
      <c r="Q81" s="442">
        <v>0</v>
      </c>
      <c r="R81" s="443">
        <v>0</v>
      </c>
      <c r="S81" s="442">
        <v>0</v>
      </c>
      <c r="T81" s="445">
        <v>0</v>
      </c>
      <c r="U81" s="444">
        <v>431</v>
      </c>
      <c r="V81" s="442">
        <v>0</v>
      </c>
      <c r="W81" s="443">
        <v>0</v>
      </c>
      <c r="X81" s="442">
        <v>0</v>
      </c>
      <c r="Y81" s="443">
        <v>0</v>
      </c>
      <c r="Z81" s="441">
        <v>431</v>
      </c>
      <c r="AA81" s="442">
        <v>0</v>
      </c>
      <c r="AB81" s="443">
        <v>0</v>
      </c>
      <c r="AC81" s="442">
        <v>0</v>
      </c>
      <c r="AD81" s="443">
        <v>0</v>
      </c>
      <c r="AE81" s="441">
        <v>431</v>
      </c>
    </row>
    <row r="82" spans="2:31" ht="12.75">
      <c r="B82" s="440"/>
      <c r="C82" s="429"/>
      <c r="D82" s="434"/>
      <c r="E82" s="429" t="s">
        <v>279</v>
      </c>
      <c r="F82" s="441"/>
      <c r="G82" s="442">
        <v>0</v>
      </c>
      <c r="H82" s="443">
        <v>0</v>
      </c>
      <c r="I82" s="442">
        <v>0</v>
      </c>
      <c r="J82" s="445">
        <v>0</v>
      </c>
      <c r="K82" s="441">
        <v>0</v>
      </c>
      <c r="L82" s="442">
        <v>0</v>
      </c>
      <c r="M82" s="443">
        <v>0</v>
      </c>
      <c r="N82" s="442">
        <v>0</v>
      </c>
      <c r="O82" s="445">
        <v>0</v>
      </c>
      <c r="P82" s="441">
        <v>0</v>
      </c>
      <c r="Q82" s="442">
        <v>0</v>
      </c>
      <c r="R82" s="443">
        <v>0</v>
      </c>
      <c r="S82" s="442">
        <v>0</v>
      </c>
      <c r="T82" s="445">
        <v>0</v>
      </c>
      <c r="U82" s="444">
        <v>0</v>
      </c>
      <c r="V82" s="442">
        <v>0</v>
      </c>
      <c r="W82" s="443">
        <v>0</v>
      </c>
      <c r="X82" s="442">
        <v>0</v>
      </c>
      <c r="Y82" s="443">
        <v>0</v>
      </c>
      <c r="Z82" s="441">
        <v>0</v>
      </c>
      <c r="AA82" s="442">
        <v>0</v>
      </c>
      <c r="AB82" s="443">
        <v>0</v>
      </c>
      <c r="AC82" s="442">
        <v>0</v>
      </c>
      <c r="AD82" s="443">
        <v>0</v>
      </c>
      <c r="AE82" s="441">
        <v>0</v>
      </c>
    </row>
    <row r="83" spans="2:31" ht="12.75">
      <c r="B83" s="440"/>
      <c r="C83" s="429"/>
      <c r="D83" s="434"/>
      <c r="E83" s="429" t="s">
        <v>280</v>
      </c>
      <c r="F83" s="441"/>
      <c r="G83" s="442">
        <v>0</v>
      </c>
      <c r="H83" s="443">
        <v>0</v>
      </c>
      <c r="I83" s="442">
        <v>0</v>
      </c>
      <c r="J83" s="445">
        <v>0</v>
      </c>
      <c r="K83" s="441">
        <v>0</v>
      </c>
      <c r="L83" s="442">
        <v>0</v>
      </c>
      <c r="M83" s="443">
        <v>0</v>
      </c>
      <c r="N83" s="442">
        <v>0</v>
      </c>
      <c r="O83" s="445">
        <v>0</v>
      </c>
      <c r="P83" s="441">
        <v>0</v>
      </c>
      <c r="Q83" s="442">
        <v>0</v>
      </c>
      <c r="R83" s="443">
        <v>0</v>
      </c>
      <c r="S83" s="442">
        <v>0</v>
      </c>
      <c r="T83" s="445">
        <v>0</v>
      </c>
      <c r="U83" s="444">
        <v>0</v>
      </c>
      <c r="V83" s="442">
        <v>0</v>
      </c>
      <c r="W83" s="443">
        <v>0</v>
      </c>
      <c r="X83" s="442">
        <v>0</v>
      </c>
      <c r="Y83" s="443">
        <v>0</v>
      </c>
      <c r="Z83" s="441">
        <v>0</v>
      </c>
      <c r="AA83" s="442">
        <v>0</v>
      </c>
      <c r="AB83" s="443">
        <v>0</v>
      </c>
      <c r="AC83" s="442">
        <v>0</v>
      </c>
      <c r="AD83" s="443">
        <v>0</v>
      </c>
      <c r="AE83" s="441">
        <v>0</v>
      </c>
    </row>
    <row r="84" spans="2:31" ht="12.75">
      <c r="B84" s="440"/>
      <c r="C84" s="429"/>
      <c r="D84" s="429"/>
      <c r="E84" s="429"/>
      <c r="F84" s="446"/>
      <c r="G84" s="447"/>
      <c r="H84" s="448"/>
      <c r="I84" s="447"/>
      <c r="J84" s="449"/>
      <c r="K84" s="446"/>
      <c r="L84" s="447"/>
      <c r="M84" s="448"/>
      <c r="N84" s="447"/>
      <c r="O84" s="449"/>
      <c r="P84" s="446"/>
      <c r="Q84" s="447"/>
      <c r="R84" s="448"/>
      <c r="S84" s="447"/>
      <c r="T84" s="449"/>
      <c r="U84" s="450"/>
      <c r="V84" s="447"/>
      <c r="W84" s="448"/>
      <c r="X84" s="447"/>
      <c r="Y84" s="448"/>
      <c r="Z84" s="446"/>
      <c r="AA84" s="447"/>
      <c r="AB84" s="448"/>
      <c r="AC84" s="447"/>
      <c r="AD84" s="448"/>
      <c r="AE84" s="446"/>
    </row>
    <row r="85" spans="2:31" ht="12.75">
      <c r="B85" s="427"/>
      <c r="C85" s="429"/>
      <c r="D85" s="434" t="s">
        <v>504</v>
      </c>
      <c r="E85" s="429"/>
      <c r="F85" s="446"/>
      <c r="G85" s="447"/>
      <c r="H85" s="448"/>
      <c r="I85" s="447"/>
      <c r="J85" s="449"/>
      <c r="K85" s="446"/>
      <c r="L85" s="447"/>
      <c r="M85" s="448"/>
      <c r="N85" s="447"/>
      <c r="O85" s="449"/>
      <c r="P85" s="446"/>
      <c r="Q85" s="447"/>
      <c r="R85" s="448"/>
      <c r="S85" s="447"/>
      <c r="T85" s="449"/>
      <c r="U85" s="450"/>
      <c r="V85" s="447"/>
      <c r="W85" s="448"/>
      <c r="X85" s="447"/>
      <c r="Y85" s="448"/>
      <c r="Z85" s="446"/>
      <c r="AA85" s="447"/>
      <c r="AB85" s="448"/>
      <c r="AC85" s="447"/>
      <c r="AD85" s="448"/>
      <c r="AE85" s="446"/>
    </row>
    <row r="86" spans="2:31" ht="12.75">
      <c r="B86" s="427"/>
      <c r="C86" s="429"/>
      <c r="D86" s="434"/>
      <c r="E86" s="429" t="s">
        <v>11</v>
      </c>
      <c r="F86" s="441"/>
      <c r="G86" s="442">
        <v>0</v>
      </c>
      <c r="H86" s="443">
        <v>1</v>
      </c>
      <c r="I86" s="442">
        <v>14</v>
      </c>
      <c r="J86" s="445">
        <v>1</v>
      </c>
      <c r="K86" s="441">
        <v>720.17</v>
      </c>
      <c r="L86" s="442">
        <v>0</v>
      </c>
      <c r="M86" s="443">
        <v>0.3</v>
      </c>
      <c r="N86" s="442">
        <v>12.2</v>
      </c>
      <c r="O86" s="445">
        <v>1.2</v>
      </c>
      <c r="P86" s="441">
        <v>733.27</v>
      </c>
      <c r="Q86" s="442">
        <v>0</v>
      </c>
      <c r="R86" s="443">
        <v>0.5</v>
      </c>
      <c r="S86" s="442">
        <v>5.9</v>
      </c>
      <c r="T86" s="445">
        <v>0.5</v>
      </c>
      <c r="U86" s="444">
        <v>739.17</v>
      </c>
      <c r="V86" s="442">
        <v>0</v>
      </c>
      <c r="W86" s="443">
        <v>0</v>
      </c>
      <c r="X86" s="442">
        <v>8</v>
      </c>
      <c r="Y86" s="443">
        <v>4</v>
      </c>
      <c r="Z86" s="441">
        <v>751.17</v>
      </c>
      <c r="AA86" s="442">
        <v>0</v>
      </c>
      <c r="AB86" s="443">
        <v>0</v>
      </c>
      <c r="AC86" s="442">
        <v>12</v>
      </c>
      <c r="AD86" s="443">
        <v>4</v>
      </c>
      <c r="AE86" s="441">
        <v>767.17</v>
      </c>
    </row>
    <row r="87" spans="2:31" ht="12.75">
      <c r="B87" s="427"/>
      <c r="C87" s="429"/>
      <c r="D87" s="434"/>
      <c r="E87" s="429" t="s">
        <v>12</v>
      </c>
      <c r="F87" s="441"/>
      <c r="G87" s="442">
        <v>0</v>
      </c>
      <c r="H87" s="443">
        <v>0</v>
      </c>
      <c r="I87" s="442">
        <v>0</v>
      </c>
      <c r="J87" s="445">
        <v>0</v>
      </c>
      <c r="K87" s="441">
        <v>71.135</v>
      </c>
      <c r="L87" s="442">
        <v>0</v>
      </c>
      <c r="M87" s="443">
        <v>0</v>
      </c>
      <c r="N87" s="442">
        <v>0</v>
      </c>
      <c r="O87" s="445">
        <v>0</v>
      </c>
      <c r="P87" s="441">
        <v>71.135</v>
      </c>
      <c r="Q87" s="442">
        <v>0</v>
      </c>
      <c r="R87" s="443">
        <v>0</v>
      </c>
      <c r="S87" s="442">
        <v>0</v>
      </c>
      <c r="T87" s="445">
        <v>0</v>
      </c>
      <c r="U87" s="444">
        <v>71.135</v>
      </c>
      <c r="V87" s="442">
        <v>0</v>
      </c>
      <c r="W87" s="443">
        <v>4</v>
      </c>
      <c r="X87" s="442">
        <v>0</v>
      </c>
      <c r="Y87" s="443">
        <v>0</v>
      </c>
      <c r="Z87" s="441">
        <v>67.135</v>
      </c>
      <c r="AA87" s="442">
        <v>0</v>
      </c>
      <c r="AB87" s="443">
        <v>4</v>
      </c>
      <c r="AC87" s="442">
        <v>0</v>
      </c>
      <c r="AD87" s="443">
        <v>0</v>
      </c>
      <c r="AE87" s="441">
        <v>63.135</v>
      </c>
    </row>
    <row r="88" spans="2:31" ht="12.75">
      <c r="B88" s="427"/>
      <c r="C88" s="429"/>
      <c r="D88" s="434"/>
      <c r="E88" s="429" t="s">
        <v>13</v>
      </c>
      <c r="F88" s="441"/>
      <c r="G88" s="442">
        <v>0</v>
      </c>
      <c r="H88" s="443">
        <v>0</v>
      </c>
      <c r="I88" s="442">
        <v>0</v>
      </c>
      <c r="J88" s="445">
        <v>0</v>
      </c>
      <c r="K88" s="441">
        <v>34</v>
      </c>
      <c r="L88" s="442">
        <v>0</v>
      </c>
      <c r="M88" s="443">
        <v>0</v>
      </c>
      <c r="N88" s="442">
        <v>0</v>
      </c>
      <c r="O88" s="445">
        <v>0</v>
      </c>
      <c r="P88" s="441">
        <v>34</v>
      </c>
      <c r="Q88" s="442">
        <v>0</v>
      </c>
      <c r="R88" s="443">
        <v>0</v>
      </c>
      <c r="S88" s="442">
        <v>0</v>
      </c>
      <c r="T88" s="445">
        <v>0</v>
      </c>
      <c r="U88" s="444">
        <v>34</v>
      </c>
      <c r="V88" s="442">
        <v>0</v>
      </c>
      <c r="W88" s="443">
        <v>0</v>
      </c>
      <c r="X88" s="442">
        <v>0</v>
      </c>
      <c r="Y88" s="443">
        <v>0</v>
      </c>
      <c r="Z88" s="441">
        <v>34</v>
      </c>
      <c r="AA88" s="442">
        <v>0</v>
      </c>
      <c r="AB88" s="443">
        <v>0</v>
      </c>
      <c r="AC88" s="442">
        <v>0</v>
      </c>
      <c r="AD88" s="443">
        <v>0</v>
      </c>
      <c r="AE88" s="441">
        <v>34</v>
      </c>
    </row>
    <row r="89" spans="2:31" ht="12.75">
      <c r="B89" s="427"/>
      <c r="C89" s="429"/>
      <c r="D89" s="434"/>
      <c r="E89" s="429" t="s">
        <v>160</v>
      </c>
      <c r="F89" s="441"/>
      <c r="G89" s="442">
        <v>0</v>
      </c>
      <c r="H89" s="443">
        <v>0</v>
      </c>
      <c r="I89" s="442">
        <v>0</v>
      </c>
      <c r="J89" s="445">
        <v>0</v>
      </c>
      <c r="K89" s="441">
        <v>0</v>
      </c>
      <c r="L89" s="442">
        <v>0</v>
      </c>
      <c r="M89" s="443">
        <v>0</v>
      </c>
      <c r="N89" s="442">
        <v>0</v>
      </c>
      <c r="O89" s="445">
        <v>0</v>
      </c>
      <c r="P89" s="441">
        <v>0</v>
      </c>
      <c r="Q89" s="442">
        <v>0</v>
      </c>
      <c r="R89" s="443">
        <v>0</v>
      </c>
      <c r="S89" s="442">
        <v>0</v>
      </c>
      <c r="T89" s="445">
        <v>0</v>
      </c>
      <c r="U89" s="444">
        <v>0</v>
      </c>
      <c r="V89" s="442">
        <v>0</v>
      </c>
      <c r="W89" s="443">
        <v>0</v>
      </c>
      <c r="X89" s="442">
        <v>0</v>
      </c>
      <c r="Y89" s="443">
        <v>0</v>
      </c>
      <c r="Z89" s="441">
        <v>0</v>
      </c>
      <c r="AA89" s="442">
        <v>0</v>
      </c>
      <c r="AB89" s="443">
        <v>0</v>
      </c>
      <c r="AC89" s="442">
        <v>0</v>
      </c>
      <c r="AD89" s="443">
        <v>0</v>
      </c>
      <c r="AE89" s="441">
        <v>0</v>
      </c>
    </row>
    <row r="90" spans="2:31" ht="12.75">
      <c r="B90" s="427"/>
      <c r="C90" s="429"/>
      <c r="D90" s="434"/>
      <c r="E90" s="429" t="s">
        <v>171</v>
      </c>
      <c r="F90" s="441"/>
      <c r="G90" s="442">
        <v>0</v>
      </c>
      <c r="H90" s="443">
        <v>0</v>
      </c>
      <c r="I90" s="442">
        <v>0</v>
      </c>
      <c r="J90" s="445">
        <v>0</v>
      </c>
      <c r="K90" s="441">
        <v>0</v>
      </c>
      <c r="L90" s="442">
        <v>0</v>
      </c>
      <c r="M90" s="443">
        <v>0</v>
      </c>
      <c r="N90" s="442">
        <v>0</v>
      </c>
      <c r="O90" s="445">
        <v>0</v>
      </c>
      <c r="P90" s="441">
        <v>0</v>
      </c>
      <c r="Q90" s="442">
        <v>0</v>
      </c>
      <c r="R90" s="443">
        <v>0</v>
      </c>
      <c r="S90" s="442">
        <v>0</v>
      </c>
      <c r="T90" s="445">
        <v>0</v>
      </c>
      <c r="U90" s="444">
        <v>0</v>
      </c>
      <c r="V90" s="442">
        <v>0</v>
      </c>
      <c r="W90" s="443">
        <v>0</v>
      </c>
      <c r="X90" s="442">
        <v>0</v>
      </c>
      <c r="Y90" s="443">
        <v>0</v>
      </c>
      <c r="Z90" s="441">
        <v>0</v>
      </c>
      <c r="AA90" s="442">
        <v>0</v>
      </c>
      <c r="AB90" s="443">
        <v>0</v>
      </c>
      <c r="AC90" s="442">
        <v>0</v>
      </c>
      <c r="AD90" s="443">
        <v>0</v>
      </c>
      <c r="AE90" s="441">
        <v>0</v>
      </c>
    </row>
    <row r="91" spans="2:31" ht="12.75">
      <c r="B91" s="427"/>
      <c r="C91" s="429"/>
      <c r="D91" s="434"/>
      <c r="E91" s="429" t="s">
        <v>172</v>
      </c>
      <c r="F91" s="441"/>
      <c r="G91" s="442">
        <v>0</v>
      </c>
      <c r="H91" s="443">
        <v>0</v>
      </c>
      <c r="I91" s="442">
        <v>0</v>
      </c>
      <c r="J91" s="445">
        <v>0</v>
      </c>
      <c r="K91" s="441">
        <v>0</v>
      </c>
      <c r="L91" s="442">
        <v>0</v>
      </c>
      <c r="M91" s="443">
        <v>0</v>
      </c>
      <c r="N91" s="442">
        <v>0</v>
      </c>
      <c r="O91" s="445">
        <v>0</v>
      </c>
      <c r="P91" s="441">
        <v>0</v>
      </c>
      <c r="Q91" s="442">
        <v>0</v>
      </c>
      <c r="R91" s="443">
        <v>0</v>
      </c>
      <c r="S91" s="442">
        <v>0</v>
      </c>
      <c r="T91" s="445">
        <v>0</v>
      </c>
      <c r="U91" s="444">
        <v>0</v>
      </c>
      <c r="V91" s="442">
        <v>0</v>
      </c>
      <c r="W91" s="443">
        <v>0</v>
      </c>
      <c r="X91" s="442">
        <v>0</v>
      </c>
      <c r="Y91" s="443">
        <v>0</v>
      </c>
      <c r="Z91" s="441">
        <v>0</v>
      </c>
      <c r="AA91" s="442">
        <v>0</v>
      </c>
      <c r="AB91" s="443">
        <v>0</v>
      </c>
      <c r="AC91" s="442">
        <v>0</v>
      </c>
      <c r="AD91" s="443">
        <v>0</v>
      </c>
      <c r="AE91" s="441">
        <v>0</v>
      </c>
    </row>
    <row r="92" spans="2:31" ht="12.75">
      <c r="B92" s="427"/>
      <c r="C92" s="429"/>
      <c r="D92" s="429"/>
      <c r="E92" s="429"/>
      <c r="F92" s="446"/>
      <c r="G92" s="447"/>
      <c r="H92" s="448"/>
      <c r="I92" s="447"/>
      <c r="J92" s="449"/>
      <c r="K92" s="446"/>
      <c r="L92" s="447"/>
      <c r="M92" s="448"/>
      <c r="N92" s="447"/>
      <c r="O92" s="449"/>
      <c r="P92" s="446"/>
      <c r="Q92" s="447"/>
      <c r="R92" s="448"/>
      <c r="S92" s="447"/>
      <c r="T92" s="449"/>
      <c r="U92" s="450"/>
      <c r="V92" s="447"/>
      <c r="W92" s="448"/>
      <c r="X92" s="447"/>
      <c r="Y92" s="448"/>
      <c r="Z92" s="446"/>
      <c r="AA92" s="447"/>
      <c r="AB92" s="448"/>
      <c r="AC92" s="447"/>
      <c r="AD92" s="448"/>
      <c r="AE92" s="446"/>
    </row>
    <row r="93" spans="2:31" ht="12.75">
      <c r="B93" s="427"/>
      <c r="C93" s="429"/>
      <c r="D93" s="434" t="s">
        <v>637</v>
      </c>
      <c r="E93" s="429"/>
      <c r="F93" s="446"/>
      <c r="G93" s="447"/>
      <c r="H93" s="448"/>
      <c r="I93" s="447"/>
      <c r="J93" s="449"/>
      <c r="K93" s="446"/>
      <c r="L93" s="447"/>
      <c r="M93" s="448"/>
      <c r="N93" s="447"/>
      <c r="O93" s="449"/>
      <c r="P93" s="446"/>
      <c r="Q93" s="447"/>
      <c r="R93" s="448"/>
      <c r="S93" s="447"/>
      <c r="T93" s="449"/>
      <c r="U93" s="450"/>
      <c r="V93" s="447"/>
      <c r="W93" s="448"/>
      <c r="X93" s="447"/>
      <c r="Y93" s="448"/>
      <c r="Z93" s="446"/>
      <c r="AA93" s="447"/>
      <c r="AB93" s="448"/>
      <c r="AC93" s="447"/>
      <c r="AD93" s="448"/>
      <c r="AE93" s="446"/>
    </row>
    <row r="94" spans="2:31" ht="12.75">
      <c r="B94" s="427"/>
      <c r="C94" s="429"/>
      <c r="D94" s="429"/>
      <c r="E94" s="429" t="s">
        <v>122</v>
      </c>
      <c r="F94" s="441"/>
      <c r="G94" s="442">
        <v>0</v>
      </c>
      <c r="H94" s="443">
        <v>0</v>
      </c>
      <c r="I94" s="442">
        <v>0</v>
      </c>
      <c r="J94" s="445">
        <v>0</v>
      </c>
      <c r="K94" s="441">
        <v>66</v>
      </c>
      <c r="L94" s="442">
        <v>0</v>
      </c>
      <c r="M94" s="443">
        <v>0</v>
      </c>
      <c r="N94" s="442">
        <v>0</v>
      </c>
      <c r="O94" s="445">
        <v>0</v>
      </c>
      <c r="P94" s="441">
        <v>66</v>
      </c>
      <c r="Q94" s="442">
        <v>0</v>
      </c>
      <c r="R94" s="443">
        <v>0</v>
      </c>
      <c r="S94" s="442">
        <v>0</v>
      </c>
      <c r="T94" s="445">
        <v>0</v>
      </c>
      <c r="U94" s="444">
        <v>66</v>
      </c>
      <c r="V94" s="442">
        <v>0</v>
      </c>
      <c r="W94" s="443">
        <v>0</v>
      </c>
      <c r="X94" s="442">
        <v>0</v>
      </c>
      <c r="Y94" s="443">
        <v>0</v>
      </c>
      <c r="Z94" s="441">
        <v>66</v>
      </c>
      <c r="AA94" s="442">
        <v>0</v>
      </c>
      <c r="AB94" s="443">
        <v>0</v>
      </c>
      <c r="AC94" s="442">
        <v>0</v>
      </c>
      <c r="AD94" s="443">
        <v>0</v>
      </c>
      <c r="AE94" s="441">
        <v>66</v>
      </c>
    </row>
    <row r="95" spans="2:31" ht="12.75">
      <c r="B95" s="427"/>
      <c r="C95" s="429"/>
      <c r="D95" s="434"/>
      <c r="E95" s="429"/>
      <c r="F95" s="446"/>
      <c r="G95" s="447"/>
      <c r="H95" s="448"/>
      <c r="I95" s="447"/>
      <c r="J95" s="449"/>
      <c r="K95" s="446"/>
      <c r="L95" s="447"/>
      <c r="M95" s="448"/>
      <c r="N95" s="447"/>
      <c r="O95" s="449"/>
      <c r="P95" s="446"/>
      <c r="Q95" s="447"/>
      <c r="R95" s="448"/>
      <c r="S95" s="447"/>
      <c r="T95" s="449"/>
      <c r="U95" s="450"/>
      <c r="V95" s="447"/>
      <c r="W95" s="448"/>
      <c r="X95" s="447"/>
      <c r="Y95" s="448"/>
      <c r="Z95" s="446"/>
      <c r="AA95" s="447"/>
      <c r="AB95" s="448"/>
      <c r="AC95" s="447"/>
      <c r="AD95" s="448"/>
      <c r="AE95" s="446"/>
    </row>
    <row r="96" spans="2:31" ht="12.75">
      <c r="B96" s="427"/>
      <c r="C96" s="429"/>
      <c r="D96" s="434" t="s">
        <v>223</v>
      </c>
      <c r="E96" s="429"/>
      <c r="F96" s="446"/>
      <c r="G96" s="447"/>
      <c r="H96" s="448"/>
      <c r="I96" s="447"/>
      <c r="J96" s="449"/>
      <c r="K96" s="446"/>
      <c r="L96" s="447"/>
      <c r="M96" s="448"/>
      <c r="N96" s="447"/>
      <c r="O96" s="449"/>
      <c r="P96" s="446"/>
      <c r="Q96" s="447"/>
      <c r="R96" s="448"/>
      <c r="S96" s="447"/>
      <c r="T96" s="449"/>
      <c r="U96" s="450"/>
      <c r="V96" s="447"/>
      <c r="W96" s="448"/>
      <c r="X96" s="447"/>
      <c r="Y96" s="448"/>
      <c r="Z96" s="446"/>
      <c r="AA96" s="447"/>
      <c r="AB96" s="448"/>
      <c r="AC96" s="447"/>
      <c r="AD96" s="448"/>
      <c r="AE96" s="446"/>
    </row>
    <row r="97" spans="2:31" ht="12.75">
      <c r="B97" s="427"/>
      <c r="C97" s="429"/>
      <c r="D97" s="434"/>
      <c r="E97" s="459" t="s">
        <v>123</v>
      </c>
      <c r="F97" s="441"/>
      <c r="G97" s="442">
        <v>0</v>
      </c>
      <c r="H97" s="443">
        <v>0</v>
      </c>
      <c r="I97" s="442">
        <v>4</v>
      </c>
      <c r="J97" s="445">
        <v>0</v>
      </c>
      <c r="K97" s="441">
        <v>275</v>
      </c>
      <c r="L97" s="442">
        <v>0</v>
      </c>
      <c r="M97" s="443">
        <v>0</v>
      </c>
      <c r="N97" s="442">
        <v>11</v>
      </c>
      <c r="O97" s="445">
        <v>0</v>
      </c>
      <c r="P97" s="441">
        <v>286</v>
      </c>
      <c r="Q97" s="442">
        <v>0</v>
      </c>
      <c r="R97" s="443">
        <v>0</v>
      </c>
      <c r="S97" s="442">
        <v>0</v>
      </c>
      <c r="T97" s="445">
        <v>0</v>
      </c>
      <c r="U97" s="444">
        <v>286</v>
      </c>
      <c r="V97" s="442">
        <v>0</v>
      </c>
      <c r="W97" s="443">
        <v>19</v>
      </c>
      <c r="X97" s="442">
        <v>4</v>
      </c>
      <c r="Y97" s="443">
        <v>19</v>
      </c>
      <c r="Z97" s="441">
        <v>290</v>
      </c>
      <c r="AA97" s="442">
        <v>0</v>
      </c>
      <c r="AB97" s="443">
        <v>19</v>
      </c>
      <c r="AC97" s="442">
        <v>6</v>
      </c>
      <c r="AD97" s="443">
        <v>19</v>
      </c>
      <c r="AE97" s="441">
        <v>296</v>
      </c>
    </row>
    <row r="98" spans="2:31" ht="12.75">
      <c r="B98" s="427"/>
      <c r="C98" s="429"/>
      <c r="D98" s="434"/>
      <c r="E98" s="459" t="s">
        <v>124</v>
      </c>
      <c r="F98" s="441"/>
      <c r="G98" s="442">
        <v>7</v>
      </c>
      <c r="H98" s="443">
        <v>20</v>
      </c>
      <c r="I98" s="442">
        <v>2</v>
      </c>
      <c r="J98" s="445">
        <v>20</v>
      </c>
      <c r="K98" s="441">
        <v>661</v>
      </c>
      <c r="L98" s="442">
        <v>0</v>
      </c>
      <c r="M98" s="443">
        <v>7</v>
      </c>
      <c r="N98" s="442">
        <v>2</v>
      </c>
      <c r="O98" s="445">
        <v>15</v>
      </c>
      <c r="P98" s="441">
        <v>671</v>
      </c>
      <c r="Q98" s="442">
        <v>0</v>
      </c>
      <c r="R98" s="443">
        <v>7</v>
      </c>
      <c r="S98" s="442">
        <v>0</v>
      </c>
      <c r="T98" s="445">
        <v>7</v>
      </c>
      <c r="U98" s="444">
        <v>671</v>
      </c>
      <c r="V98" s="442">
        <v>0</v>
      </c>
      <c r="W98" s="443">
        <v>15</v>
      </c>
      <c r="X98" s="442">
        <v>2</v>
      </c>
      <c r="Y98" s="443">
        <v>15</v>
      </c>
      <c r="Z98" s="441">
        <v>673</v>
      </c>
      <c r="AA98" s="442">
        <v>0</v>
      </c>
      <c r="AB98" s="443">
        <v>15</v>
      </c>
      <c r="AC98" s="442">
        <v>2</v>
      </c>
      <c r="AD98" s="443">
        <v>15</v>
      </c>
      <c r="AE98" s="441">
        <v>675</v>
      </c>
    </row>
    <row r="99" spans="2:31" ht="12.75">
      <c r="B99" s="427"/>
      <c r="C99" s="429"/>
      <c r="D99" s="434"/>
      <c r="E99" s="459" t="s">
        <v>125</v>
      </c>
      <c r="F99" s="441"/>
      <c r="G99" s="442">
        <v>0</v>
      </c>
      <c r="H99" s="443">
        <v>0</v>
      </c>
      <c r="I99" s="442">
        <v>0</v>
      </c>
      <c r="J99" s="445">
        <v>2</v>
      </c>
      <c r="K99" s="441">
        <v>13</v>
      </c>
      <c r="L99" s="442">
        <v>0</v>
      </c>
      <c r="M99" s="443">
        <v>0</v>
      </c>
      <c r="N99" s="442">
        <v>0</v>
      </c>
      <c r="O99" s="445">
        <v>0</v>
      </c>
      <c r="P99" s="441">
        <v>13</v>
      </c>
      <c r="Q99" s="442">
        <v>0</v>
      </c>
      <c r="R99" s="443">
        <v>0</v>
      </c>
      <c r="S99" s="442">
        <v>0</v>
      </c>
      <c r="T99" s="445">
        <v>1</v>
      </c>
      <c r="U99" s="444">
        <v>14</v>
      </c>
      <c r="V99" s="442">
        <v>0</v>
      </c>
      <c r="W99" s="443">
        <v>0</v>
      </c>
      <c r="X99" s="442">
        <v>0</v>
      </c>
      <c r="Y99" s="443">
        <v>0</v>
      </c>
      <c r="Z99" s="441">
        <v>14</v>
      </c>
      <c r="AA99" s="442">
        <v>0</v>
      </c>
      <c r="AB99" s="443">
        <v>0</v>
      </c>
      <c r="AC99" s="442">
        <v>0</v>
      </c>
      <c r="AD99" s="443">
        <v>0</v>
      </c>
      <c r="AE99" s="441">
        <v>14</v>
      </c>
    </row>
    <row r="100" spans="2:31" ht="12.75">
      <c r="B100" s="427"/>
      <c r="C100" s="429"/>
      <c r="D100" s="434"/>
      <c r="E100" s="459" t="s">
        <v>126</v>
      </c>
      <c r="F100" s="441"/>
      <c r="G100" s="442">
        <v>0</v>
      </c>
      <c r="H100" s="443">
        <v>0</v>
      </c>
      <c r="I100" s="442">
        <v>0</v>
      </c>
      <c r="J100" s="445">
        <v>0</v>
      </c>
      <c r="K100" s="441">
        <v>0</v>
      </c>
      <c r="L100" s="442">
        <v>0</v>
      </c>
      <c r="M100" s="443">
        <v>0</v>
      </c>
      <c r="N100" s="442">
        <v>0</v>
      </c>
      <c r="O100" s="445">
        <v>0</v>
      </c>
      <c r="P100" s="441">
        <v>0</v>
      </c>
      <c r="Q100" s="442">
        <v>0</v>
      </c>
      <c r="R100" s="443">
        <v>0</v>
      </c>
      <c r="S100" s="442">
        <v>0</v>
      </c>
      <c r="T100" s="445">
        <v>0</v>
      </c>
      <c r="U100" s="444">
        <v>0</v>
      </c>
      <c r="V100" s="442">
        <v>0</v>
      </c>
      <c r="W100" s="443">
        <v>0</v>
      </c>
      <c r="X100" s="442">
        <v>0</v>
      </c>
      <c r="Y100" s="443">
        <v>0</v>
      </c>
      <c r="Z100" s="441">
        <v>0</v>
      </c>
      <c r="AA100" s="442">
        <v>0</v>
      </c>
      <c r="AB100" s="443">
        <v>0</v>
      </c>
      <c r="AC100" s="442">
        <v>0</v>
      </c>
      <c r="AD100" s="443">
        <v>0</v>
      </c>
      <c r="AE100" s="441">
        <v>0</v>
      </c>
    </row>
    <row r="101" spans="2:31" ht="12.75">
      <c r="B101" s="427"/>
      <c r="C101" s="429"/>
      <c r="D101" s="434"/>
      <c r="E101" s="459" t="s">
        <v>127</v>
      </c>
      <c r="F101" s="441"/>
      <c r="G101" s="442">
        <v>0</v>
      </c>
      <c r="H101" s="443">
        <v>0</v>
      </c>
      <c r="I101" s="442">
        <v>0</v>
      </c>
      <c r="J101" s="445">
        <v>0</v>
      </c>
      <c r="K101" s="441">
        <v>2</v>
      </c>
      <c r="L101" s="442">
        <v>0</v>
      </c>
      <c r="M101" s="443">
        <v>0</v>
      </c>
      <c r="N101" s="442">
        <v>0</v>
      </c>
      <c r="O101" s="445">
        <v>0</v>
      </c>
      <c r="P101" s="441">
        <v>2</v>
      </c>
      <c r="Q101" s="442">
        <v>0</v>
      </c>
      <c r="R101" s="443">
        <v>0</v>
      </c>
      <c r="S101" s="442">
        <v>0</v>
      </c>
      <c r="T101" s="445">
        <v>0</v>
      </c>
      <c r="U101" s="444">
        <v>2</v>
      </c>
      <c r="V101" s="442">
        <v>0</v>
      </c>
      <c r="W101" s="443">
        <v>0</v>
      </c>
      <c r="X101" s="442">
        <v>0</v>
      </c>
      <c r="Y101" s="443">
        <v>0</v>
      </c>
      <c r="Z101" s="441">
        <v>2</v>
      </c>
      <c r="AA101" s="442">
        <v>0</v>
      </c>
      <c r="AB101" s="443">
        <v>0</v>
      </c>
      <c r="AC101" s="442">
        <v>0</v>
      </c>
      <c r="AD101" s="443">
        <v>0</v>
      </c>
      <c r="AE101" s="441">
        <v>2</v>
      </c>
    </row>
    <row r="102" spans="2:31" ht="12.75">
      <c r="B102" s="427"/>
      <c r="C102" s="429"/>
      <c r="D102" s="434"/>
      <c r="E102" s="459" t="s">
        <v>128</v>
      </c>
      <c r="F102" s="441"/>
      <c r="G102" s="442">
        <v>29</v>
      </c>
      <c r="H102" s="443">
        <v>46</v>
      </c>
      <c r="I102" s="442">
        <v>1</v>
      </c>
      <c r="J102" s="445">
        <v>46</v>
      </c>
      <c r="K102" s="441">
        <v>3237</v>
      </c>
      <c r="L102" s="442">
        <v>0</v>
      </c>
      <c r="M102" s="443">
        <v>13</v>
      </c>
      <c r="N102" s="442">
        <v>0</v>
      </c>
      <c r="O102" s="445">
        <v>41</v>
      </c>
      <c r="P102" s="441">
        <v>3265</v>
      </c>
      <c r="Q102" s="442">
        <v>0</v>
      </c>
      <c r="R102" s="443">
        <v>12</v>
      </c>
      <c r="S102" s="442">
        <v>1</v>
      </c>
      <c r="T102" s="445">
        <v>18</v>
      </c>
      <c r="U102" s="444">
        <v>3272</v>
      </c>
      <c r="V102" s="442">
        <v>0</v>
      </c>
      <c r="W102" s="443">
        <v>0</v>
      </c>
      <c r="X102" s="442">
        <v>1</v>
      </c>
      <c r="Y102" s="443">
        <v>0</v>
      </c>
      <c r="Z102" s="441">
        <v>3273</v>
      </c>
      <c r="AA102" s="442">
        <v>0</v>
      </c>
      <c r="AB102" s="443">
        <v>0</v>
      </c>
      <c r="AC102" s="442">
        <v>0</v>
      </c>
      <c r="AD102" s="443">
        <v>0</v>
      </c>
      <c r="AE102" s="441">
        <v>3273</v>
      </c>
    </row>
    <row r="103" spans="2:31" ht="12.75">
      <c r="B103" s="427"/>
      <c r="C103" s="429"/>
      <c r="D103" s="434"/>
      <c r="E103" s="459" t="s">
        <v>129</v>
      </c>
      <c r="F103" s="441"/>
      <c r="G103" s="442">
        <v>0</v>
      </c>
      <c r="H103" s="443">
        <v>0</v>
      </c>
      <c r="I103" s="442">
        <v>0</v>
      </c>
      <c r="J103" s="445">
        <v>0</v>
      </c>
      <c r="K103" s="441">
        <v>0</v>
      </c>
      <c r="L103" s="442">
        <v>0</v>
      </c>
      <c r="M103" s="443">
        <v>0</v>
      </c>
      <c r="N103" s="442">
        <v>0</v>
      </c>
      <c r="O103" s="445">
        <v>0</v>
      </c>
      <c r="P103" s="441">
        <v>0</v>
      </c>
      <c r="Q103" s="442">
        <v>0</v>
      </c>
      <c r="R103" s="443">
        <v>0</v>
      </c>
      <c r="S103" s="442">
        <v>0</v>
      </c>
      <c r="T103" s="445">
        <v>0</v>
      </c>
      <c r="U103" s="444">
        <v>0</v>
      </c>
      <c r="V103" s="442">
        <v>0</v>
      </c>
      <c r="W103" s="443">
        <v>0</v>
      </c>
      <c r="X103" s="442">
        <v>0</v>
      </c>
      <c r="Y103" s="443">
        <v>0</v>
      </c>
      <c r="Z103" s="441">
        <v>0</v>
      </c>
      <c r="AA103" s="442">
        <v>0</v>
      </c>
      <c r="AB103" s="443">
        <v>0</v>
      </c>
      <c r="AC103" s="442">
        <v>0</v>
      </c>
      <c r="AD103" s="443">
        <v>0</v>
      </c>
      <c r="AE103" s="441">
        <v>0</v>
      </c>
    </row>
    <row r="104" spans="2:31" ht="12.75">
      <c r="B104" s="427"/>
      <c r="C104" s="429"/>
      <c r="D104" s="434"/>
      <c r="E104" s="459" t="s">
        <v>130</v>
      </c>
      <c r="F104" s="441"/>
      <c r="G104" s="442">
        <v>0</v>
      </c>
      <c r="H104" s="443">
        <v>0</v>
      </c>
      <c r="I104" s="442">
        <v>0</v>
      </c>
      <c r="J104" s="445">
        <v>0</v>
      </c>
      <c r="K104" s="441">
        <v>0</v>
      </c>
      <c r="L104" s="442">
        <v>0</v>
      </c>
      <c r="M104" s="443">
        <v>0</v>
      </c>
      <c r="N104" s="442">
        <v>0</v>
      </c>
      <c r="O104" s="445">
        <v>0</v>
      </c>
      <c r="P104" s="441">
        <v>0</v>
      </c>
      <c r="Q104" s="442">
        <v>0</v>
      </c>
      <c r="R104" s="443">
        <v>0</v>
      </c>
      <c r="S104" s="442">
        <v>0</v>
      </c>
      <c r="T104" s="445">
        <v>0</v>
      </c>
      <c r="U104" s="444">
        <v>0</v>
      </c>
      <c r="V104" s="442">
        <v>0</v>
      </c>
      <c r="W104" s="443">
        <v>0</v>
      </c>
      <c r="X104" s="442">
        <v>0</v>
      </c>
      <c r="Y104" s="443">
        <v>0</v>
      </c>
      <c r="Z104" s="441">
        <v>0</v>
      </c>
      <c r="AA104" s="442">
        <v>0</v>
      </c>
      <c r="AB104" s="443">
        <v>0</v>
      </c>
      <c r="AC104" s="442">
        <v>0</v>
      </c>
      <c r="AD104" s="443">
        <v>0</v>
      </c>
      <c r="AE104" s="441">
        <v>0</v>
      </c>
    </row>
    <row r="105" spans="2:31" ht="12.75">
      <c r="B105" s="427"/>
      <c r="C105" s="429"/>
      <c r="D105" s="434"/>
      <c r="E105" s="429"/>
      <c r="F105" s="446"/>
      <c r="G105" s="447"/>
      <c r="H105" s="448"/>
      <c r="I105" s="447"/>
      <c r="J105" s="449"/>
      <c r="K105" s="446"/>
      <c r="L105" s="447"/>
      <c r="M105" s="448"/>
      <c r="N105" s="447"/>
      <c r="O105" s="449"/>
      <c r="P105" s="446"/>
      <c r="Q105" s="447"/>
      <c r="R105" s="448"/>
      <c r="S105" s="447"/>
      <c r="T105" s="449"/>
      <c r="U105" s="450"/>
      <c r="V105" s="447"/>
      <c r="W105" s="448"/>
      <c r="X105" s="447"/>
      <c r="Y105" s="448"/>
      <c r="Z105" s="446"/>
      <c r="AA105" s="447"/>
      <c r="AB105" s="448"/>
      <c r="AC105" s="447"/>
      <c r="AD105" s="448"/>
      <c r="AE105" s="446"/>
    </row>
    <row r="106" spans="2:31" ht="12.75">
      <c r="B106" s="427"/>
      <c r="C106" s="429"/>
      <c r="D106" s="434" t="s">
        <v>258</v>
      </c>
      <c r="E106" s="429"/>
      <c r="F106" s="446"/>
      <c r="G106" s="447"/>
      <c r="H106" s="448"/>
      <c r="I106" s="447"/>
      <c r="J106" s="449"/>
      <c r="K106" s="446"/>
      <c r="L106" s="447"/>
      <c r="M106" s="448"/>
      <c r="N106" s="447"/>
      <c r="O106" s="449"/>
      <c r="P106" s="446"/>
      <c r="Q106" s="447"/>
      <c r="R106" s="448"/>
      <c r="S106" s="447"/>
      <c r="T106" s="449"/>
      <c r="U106" s="450"/>
      <c r="V106" s="447"/>
      <c r="W106" s="448"/>
      <c r="X106" s="447"/>
      <c r="Y106" s="448"/>
      <c r="Z106" s="446"/>
      <c r="AA106" s="447"/>
      <c r="AB106" s="448"/>
      <c r="AC106" s="447"/>
      <c r="AD106" s="448"/>
      <c r="AE106" s="446"/>
    </row>
    <row r="107" spans="2:31" ht="12.75">
      <c r="B107" s="427"/>
      <c r="C107" s="429"/>
      <c r="D107" s="429"/>
      <c r="E107" s="459" t="s">
        <v>131</v>
      </c>
      <c r="F107" s="441"/>
      <c r="G107" s="442">
        <v>0</v>
      </c>
      <c r="H107" s="443">
        <v>0</v>
      </c>
      <c r="I107" s="442">
        <v>0</v>
      </c>
      <c r="J107" s="445">
        <v>0</v>
      </c>
      <c r="K107" s="441">
        <v>1</v>
      </c>
      <c r="L107" s="442">
        <v>0</v>
      </c>
      <c r="M107" s="443">
        <v>0</v>
      </c>
      <c r="N107" s="442">
        <v>0</v>
      </c>
      <c r="O107" s="445">
        <v>0</v>
      </c>
      <c r="P107" s="441">
        <v>1</v>
      </c>
      <c r="Q107" s="442">
        <v>0</v>
      </c>
      <c r="R107" s="443">
        <v>0</v>
      </c>
      <c r="S107" s="442">
        <v>0</v>
      </c>
      <c r="T107" s="445">
        <v>0</v>
      </c>
      <c r="U107" s="444">
        <v>1</v>
      </c>
      <c r="V107" s="442">
        <v>0</v>
      </c>
      <c r="W107" s="443">
        <v>0</v>
      </c>
      <c r="X107" s="442">
        <v>0</v>
      </c>
      <c r="Y107" s="443">
        <v>0</v>
      </c>
      <c r="Z107" s="441">
        <v>1</v>
      </c>
      <c r="AA107" s="442">
        <v>0</v>
      </c>
      <c r="AB107" s="443">
        <v>0</v>
      </c>
      <c r="AC107" s="442">
        <v>0</v>
      </c>
      <c r="AD107" s="443">
        <v>0</v>
      </c>
      <c r="AE107" s="441">
        <v>1</v>
      </c>
    </row>
    <row r="108" spans="2:31" ht="12.75">
      <c r="B108" s="427"/>
      <c r="C108" s="429"/>
      <c r="D108" s="429"/>
      <c r="E108" s="459" t="s">
        <v>132</v>
      </c>
      <c r="F108" s="441"/>
      <c r="G108" s="442">
        <v>3</v>
      </c>
      <c r="H108" s="443">
        <v>0</v>
      </c>
      <c r="I108" s="442">
        <v>14</v>
      </c>
      <c r="J108" s="445">
        <v>0</v>
      </c>
      <c r="K108" s="441">
        <v>571</v>
      </c>
      <c r="L108" s="442">
        <v>9</v>
      </c>
      <c r="M108" s="443">
        <v>0</v>
      </c>
      <c r="N108" s="442">
        <v>13</v>
      </c>
      <c r="O108" s="445">
        <v>0</v>
      </c>
      <c r="P108" s="441">
        <v>575</v>
      </c>
      <c r="Q108" s="442">
        <v>5</v>
      </c>
      <c r="R108" s="443">
        <v>0</v>
      </c>
      <c r="S108" s="442">
        <v>5</v>
      </c>
      <c r="T108" s="445">
        <v>0</v>
      </c>
      <c r="U108" s="444">
        <v>575</v>
      </c>
      <c r="V108" s="442">
        <v>2</v>
      </c>
      <c r="W108" s="443">
        <v>5</v>
      </c>
      <c r="X108" s="442">
        <v>8</v>
      </c>
      <c r="Y108" s="443">
        <v>5</v>
      </c>
      <c r="Z108" s="441">
        <v>581</v>
      </c>
      <c r="AA108" s="442">
        <v>2</v>
      </c>
      <c r="AB108" s="443">
        <v>5</v>
      </c>
      <c r="AC108" s="442">
        <v>8</v>
      </c>
      <c r="AD108" s="443">
        <v>5</v>
      </c>
      <c r="AE108" s="441">
        <v>587</v>
      </c>
    </row>
    <row r="109" spans="2:31" ht="12.75">
      <c r="B109" s="427"/>
      <c r="C109" s="429"/>
      <c r="D109" s="429"/>
      <c r="E109" s="429" t="s">
        <v>16</v>
      </c>
      <c r="F109" s="441"/>
      <c r="G109" s="442">
        <v>0</v>
      </c>
      <c r="H109" s="443">
        <v>0</v>
      </c>
      <c r="I109" s="442">
        <v>1</v>
      </c>
      <c r="J109" s="445">
        <v>3</v>
      </c>
      <c r="K109" s="441">
        <v>122</v>
      </c>
      <c r="L109" s="442">
        <v>0</v>
      </c>
      <c r="M109" s="443">
        <v>0</v>
      </c>
      <c r="N109" s="442">
        <v>12</v>
      </c>
      <c r="O109" s="445">
        <v>0</v>
      </c>
      <c r="P109" s="441">
        <v>134</v>
      </c>
      <c r="Q109" s="442">
        <v>0</v>
      </c>
      <c r="R109" s="443">
        <v>0</v>
      </c>
      <c r="S109" s="442">
        <v>3</v>
      </c>
      <c r="T109" s="445">
        <v>44</v>
      </c>
      <c r="U109" s="444">
        <v>181</v>
      </c>
      <c r="V109" s="442">
        <v>0</v>
      </c>
      <c r="W109" s="443">
        <v>0</v>
      </c>
      <c r="X109" s="442">
        <v>4</v>
      </c>
      <c r="Y109" s="443">
        <v>0</v>
      </c>
      <c r="Z109" s="441">
        <v>185</v>
      </c>
      <c r="AA109" s="442">
        <v>0</v>
      </c>
      <c r="AB109" s="443">
        <v>0</v>
      </c>
      <c r="AC109" s="442">
        <v>4</v>
      </c>
      <c r="AD109" s="443">
        <v>0</v>
      </c>
      <c r="AE109" s="441">
        <v>189</v>
      </c>
    </row>
    <row r="110" spans="2:31" ht="12.75">
      <c r="B110" s="427"/>
      <c r="C110" s="429"/>
      <c r="D110" s="429"/>
      <c r="E110" s="459" t="s">
        <v>304</v>
      </c>
      <c r="F110" s="441"/>
      <c r="G110" s="442">
        <v>0</v>
      </c>
      <c r="H110" s="443">
        <v>0</v>
      </c>
      <c r="I110" s="442">
        <v>0</v>
      </c>
      <c r="J110" s="445">
        <v>0</v>
      </c>
      <c r="K110" s="441">
        <v>0</v>
      </c>
      <c r="L110" s="442">
        <v>0</v>
      </c>
      <c r="M110" s="443">
        <v>0</v>
      </c>
      <c r="N110" s="442">
        <v>0</v>
      </c>
      <c r="O110" s="445">
        <v>0</v>
      </c>
      <c r="P110" s="441">
        <v>0</v>
      </c>
      <c r="Q110" s="442">
        <v>0</v>
      </c>
      <c r="R110" s="443">
        <v>0</v>
      </c>
      <c r="S110" s="442">
        <v>0</v>
      </c>
      <c r="T110" s="445">
        <v>0</v>
      </c>
      <c r="U110" s="444">
        <v>0</v>
      </c>
      <c r="V110" s="442">
        <v>0</v>
      </c>
      <c r="W110" s="443">
        <v>0</v>
      </c>
      <c r="X110" s="442">
        <v>0</v>
      </c>
      <c r="Y110" s="443">
        <v>0</v>
      </c>
      <c r="Z110" s="441">
        <v>0</v>
      </c>
      <c r="AA110" s="442">
        <v>0</v>
      </c>
      <c r="AB110" s="443">
        <v>0</v>
      </c>
      <c r="AC110" s="442">
        <v>0</v>
      </c>
      <c r="AD110" s="443">
        <v>0</v>
      </c>
      <c r="AE110" s="441">
        <v>0</v>
      </c>
    </row>
    <row r="111" spans="2:31" ht="12.75">
      <c r="B111" s="427"/>
      <c r="C111" s="429"/>
      <c r="D111" s="434"/>
      <c r="E111" s="429" t="s">
        <v>305</v>
      </c>
      <c r="F111" s="441"/>
      <c r="G111" s="442">
        <v>0</v>
      </c>
      <c r="H111" s="443">
        <v>0</v>
      </c>
      <c r="I111" s="442">
        <v>0</v>
      </c>
      <c r="J111" s="445">
        <v>0</v>
      </c>
      <c r="K111" s="441">
        <v>0</v>
      </c>
      <c r="L111" s="442">
        <v>0</v>
      </c>
      <c r="M111" s="443">
        <v>0</v>
      </c>
      <c r="N111" s="442">
        <v>0</v>
      </c>
      <c r="O111" s="445">
        <v>0</v>
      </c>
      <c r="P111" s="441">
        <v>0</v>
      </c>
      <c r="Q111" s="442">
        <v>0</v>
      </c>
      <c r="R111" s="443">
        <v>0</v>
      </c>
      <c r="S111" s="442">
        <v>0</v>
      </c>
      <c r="T111" s="445">
        <v>0</v>
      </c>
      <c r="U111" s="444">
        <v>0</v>
      </c>
      <c r="V111" s="442">
        <v>0</v>
      </c>
      <c r="W111" s="443">
        <v>0</v>
      </c>
      <c r="X111" s="442">
        <v>0</v>
      </c>
      <c r="Y111" s="443">
        <v>0</v>
      </c>
      <c r="Z111" s="441">
        <v>0</v>
      </c>
      <c r="AA111" s="442">
        <v>0</v>
      </c>
      <c r="AB111" s="443">
        <v>0</v>
      </c>
      <c r="AC111" s="442">
        <v>0</v>
      </c>
      <c r="AD111" s="443">
        <v>0</v>
      </c>
      <c r="AE111" s="441">
        <v>0</v>
      </c>
    </row>
    <row r="112" spans="2:31" ht="13.5" thickBot="1">
      <c r="B112" s="417"/>
      <c r="C112" s="418"/>
      <c r="D112" s="418"/>
      <c r="E112" s="418"/>
      <c r="F112" s="451"/>
      <c r="G112" s="452"/>
      <c r="H112" s="453"/>
      <c r="I112" s="452"/>
      <c r="J112" s="454"/>
      <c r="K112" s="455"/>
      <c r="L112" s="452"/>
      <c r="M112" s="453"/>
      <c r="N112" s="452"/>
      <c r="O112" s="454"/>
      <c r="P112" s="455"/>
      <c r="Q112" s="452"/>
      <c r="R112" s="453"/>
      <c r="S112" s="452"/>
      <c r="T112" s="454"/>
      <c r="U112" s="456"/>
      <c r="V112" s="452"/>
      <c r="W112" s="453"/>
      <c r="X112" s="452"/>
      <c r="Y112" s="453"/>
      <c r="Z112" s="455"/>
      <c r="AA112" s="452"/>
      <c r="AB112" s="453"/>
      <c r="AC112" s="452"/>
      <c r="AD112" s="453"/>
      <c r="AE112" s="455"/>
    </row>
    <row r="113" spans="2:31" ht="12.75">
      <c r="B113" s="457"/>
      <c r="C113" s="458" t="s">
        <v>306</v>
      </c>
      <c r="D113" s="458"/>
      <c r="E113" s="459"/>
      <c r="F113" s="446"/>
      <c r="G113" s="447"/>
      <c r="H113" s="448"/>
      <c r="I113" s="447"/>
      <c r="J113" s="449"/>
      <c r="K113" s="446"/>
      <c r="L113" s="447"/>
      <c r="M113" s="448"/>
      <c r="N113" s="447"/>
      <c r="O113" s="449"/>
      <c r="P113" s="446"/>
      <c r="Q113" s="447"/>
      <c r="R113" s="448"/>
      <c r="S113" s="447"/>
      <c r="T113" s="449"/>
      <c r="U113" s="450"/>
      <c r="V113" s="447"/>
      <c r="W113" s="448"/>
      <c r="X113" s="447"/>
      <c r="Y113" s="448"/>
      <c r="Z113" s="446"/>
      <c r="AA113" s="447"/>
      <c r="AB113" s="448"/>
      <c r="AC113" s="447"/>
      <c r="AD113" s="448"/>
      <c r="AE113" s="446"/>
    </row>
    <row r="114" spans="2:31" ht="12.75">
      <c r="B114" s="427"/>
      <c r="C114" s="429"/>
      <c r="D114" s="434" t="s">
        <v>166</v>
      </c>
      <c r="E114" s="429"/>
      <c r="F114" s="446"/>
      <c r="G114" s="447"/>
      <c r="H114" s="448"/>
      <c r="I114" s="447"/>
      <c r="J114" s="449"/>
      <c r="K114" s="446"/>
      <c r="L114" s="447"/>
      <c r="M114" s="448"/>
      <c r="N114" s="447"/>
      <c r="O114" s="449"/>
      <c r="P114" s="446"/>
      <c r="Q114" s="447"/>
      <c r="R114" s="448"/>
      <c r="S114" s="447"/>
      <c r="T114" s="449"/>
      <c r="U114" s="450"/>
      <c r="V114" s="447"/>
      <c r="W114" s="448"/>
      <c r="X114" s="447"/>
      <c r="Y114" s="448"/>
      <c r="Z114" s="446"/>
      <c r="AA114" s="447"/>
      <c r="AB114" s="448"/>
      <c r="AC114" s="447"/>
      <c r="AD114" s="448"/>
      <c r="AE114" s="446"/>
    </row>
    <row r="115" spans="2:31" ht="12.75">
      <c r="B115" s="427"/>
      <c r="C115" s="429"/>
      <c r="D115" s="434"/>
      <c r="E115" s="429" t="s">
        <v>307</v>
      </c>
      <c r="F115" s="441"/>
      <c r="G115" s="442">
        <v>0</v>
      </c>
      <c r="H115" s="443">
        <v>0</v>
      </c>
      <c r="I115" s="442">
        <v>0</v>
      </c>
      <c r="J115" s="445">
        <v>0</v>
      </c>
      <c r="K115" s="441">
        <v>22.1</v>
      </c>
      <c r="L115" s="442">
        <v>0</v>
      </c>
      <c r="M115" s="443">
        <v>0</v>
      </c>
      <c r="N115" s="442">
        <v>30</v>
      </c>
      <c r="O115" s="445">
        <v>0</v>
      </c>
      <c r="P115" s="441">
        <v>52.1</v>
      </c>
      <c r="Q115" s="442">
        <v>0</v>
      </c>
      <c r="R115" s="443">
        <v>0</v>
      </c>
      <c r="S115" s="442">
        <v>8</v>
      </c>
      <c r="T115" s="445">
        <v>0</v>
      </c>
      <c r="U115" s="444">
        <v>60.1</v>
      </c>
      <c r="V115" s="442">
        <v>0</v>
      </c>
      <c r="W115" s="443">
        <v>0</v>
      </c>
      <c r="X115" s="442">
        <v>1</v>
      </c>
      <c r="Y115" s="443">
        <v>0</v>
      </c>
      <c r="Z115" s="441">
        <v>61.1</v>
      </c>
      <c r="AA115" s="442">
        <v>0</v>
      </c>
      <c r="AB115" s="443">
        <v>0</v>
      </c>
      <c r="AC115" s="442">
        <v>1</v>
      </c>
      <c r="AD115" s="443">
        <v>0</v>
      </c>
      <c r="AE115" s="441">
        <v>62.1</v>
      </c>
    </row>
    <row r="116" spans="2:31" ht="12.75">
      <c r="B116" s="427"/>
      <c r="C116" s="429"/>
      <c r="D116" s="434"/>
      <c r="E116" s="429" t="s">
        <v>308</v>
      </c>
      <c r="F116" s="441"/>
      <c r="G116" s="442">
        <v>0</v>
      </c>
      <c r="H116" s="443">
        <v>0</v>
      </c>
      <c r="I116" s="442">
        <v>0</v>
      </c>
      <c r="J116" s="445">
        <v>0</v>
      </c>
      <c r="K116" s="441">
        <v>1384</v>
      </c>
      <c r="L116" s="442">
        <v>0</v>
      </c>
      <c r="M116" s="443">
        <v>36</v>
      </c>
      <c r="N116" s="442">
        <v>0</v>
      </c>
      <c r="O116" s="445">
        <v>35</v>
      </c>
      <c r="P116" s="441">
        <v>1383</v>
      </c>
      <c r="Q116" s="442">
        <v>0</v>
      </c>
      <c r="R116" s="443">
        <v>51</v>
      </c>
      <c r="S116" s="442">
        <v>0</v>
      </c>
      <c r="T116" s="445">
        <v>50</v>
      </c>
      <c r="U116" s="444">
        <v>1382</v>
      </c>
      <c r="V116" s="442">
        <v>0</v>
      </c>
      <c r="W116" s="443">
        <v>5</v>
      </c>
      <c r="X116" s="442">
        <v>0</v>
      </c>
      <c r="Y116" s="443">
        <v>5</v>
      </c>
      <c r="Z116" s="441">
        <v>1382</v>
      </c>
      <c r="AA116" s="442">
        <v>0</v>
      </c>
      <c r="AB116" s="443">
        <v>5</v>
      </c>
      <c r="AC116" s="442">
        <v>0</v>
      </c>
      <c r="AD116" s="443">
        <v>5</v>
      </c>
      <c r="AE116" s="441">
        <v>1382</v>
      </c>
    </row>
    <row r="117" spans="2:31" ht="12.75">
      <c r="B117" s="427"/>
      <c r="C117" s="429"/>
      <c r="D117" s="434"/>
      <c r="E117" s="459"/>
      <c r="F117" s="446"/>
      <c r="G117" s="447"/>
      <c r="H117" s="448"/>
      <c r="I117" s="447"/>
      <c r="J117" s="449"/>
      <c r="K117" s="446"/>
      <c r="L117" s="447"/>
      <c r="M117" s="448"/>
      <c r="N117" s="447"/>
      <c r="O117" s="449"/>
      <c r="P117" s="446"/>
      <c r="Q117" s="447"/>
      <c r="R117" s="448"/>
      <c r="S117" s="447"/>
      <c r="T117" s="449"/>
      <c r="U117" s="450"/>
      <c r="V117" s="447"/>
      <c r="W117" s="448"/>
      <c r="X117" s="447"/>
      <c r="Y117" s="448"/>
      <c r="Z117" s="446"/>
      <c r="AA117" s="447"/>
      <c r="AB117" s="448"/>
      <c r="AC117" s="447"/>
      <c r="AD117" s="448"/>
      <c r="AE117" s="446"/>
    </row>
    <row r="118" spans="2:31" ht="12.75">
      <c r="B118" s="427"/>
      <c r="C118" s="429"/>
      <c r="D118" s="434" t="s">
        <v>608</v>
      </c>
      <c r="E118" s="429"/>
      <c r="F118" s="446"/>
      <c r="G118" s="447"/>
      <c r="H118" s="448"/>
      <c r="I118" s="447"/>
      <c r="J118" s="449"/>
      <c r="K118" s="446"/>
      <c r="L118" s="447"/>
      <c r="M118" s="448"/>
      <c r="N118" s="447"/>
      <c r="O118" s="449"/>
      <c r="P118" s="446"/>
      <c r="Q118" s="447"/>
      <c r="R118" s="448"/>
      <c r="S118" s="447"/>
      <c r="T118" s="449"/>
      <c r="U118" s="450"/>
      <c r="V118" s="447"/>
      <c r="W118" s="448"/>
      <c r="X118" s="447"/>
      <c r="Y118" s="448"/>
      <c r="Z118" s="446"/>
      <c r="AA118" s="447"/>
      <c r="AB118" s="448"/>
      <c r="AC118" s="447"/>
      <c r="AD118" s="448"/>
      <c r="AE118" s="446"/>
    </row>
    <row r="119" spans="2:31" ht="12.75">
      <c r="B119" s="427"/>
      <c r="C119" s="429"/>
      <c r="D119" s="434"/>
      <c r="E119" s="429" t="s">
        <v>309</v>
      </c>
      <c r="F119" s="441"/>
      <c r="G119" s="442">
        <v>0</v>
      </c>
      <c r="H119" s="443">
        <v>16</v>
      </c>
      <c r="I119" s="442">
        <v>0</v>
      </c>
      <c r="J119" s="445">
        <v>16</v>
      </c>
      <c r="K119" s="441">
        <v>122</v>
      </c>
      <c r="L119" s="442">
        <v>0</v>
      </c>
      <c r="M119" s="443">
        <v>0</v>
      </c>
      <c r="N119" s="442">
        <v>119</v>
      </c>
      <c r="O119" s="445">
        <v>0</v>
      </c>
      <c r="P119" s="441">
        <v>241</v>
      </c>
      <c r="Q119" s="442">
        <v>0</v>
      </c>
      <c r="R119" s="443">
        <v>0</v>
      </c>
      <c r="S119" s="442">
        <v>217</v>
      </c>
      <c r="T119" s="445">
        <v>0</v>
      </c>
      <c r="U119" s="444">
        <v>458</v>
      </c>
      <c r="V119" s="442">
        <v>0</v>
      </c>
      <c r="W119" s="443">
        <v>0</v>
      </c>
      <c r="X119" s="442">
        <v>50</v>
      </c>
      <c r="Y119" s="443">
        <v>0</v>
      </c>
      <c r="Z119" s="441">
        <v>508</v>
      </c>
      <c r="AA119" s="442">
        <v>0</v>
      </c>
      <c r="AB119" s="443">
        <v>0</v>
      </c>
      <c r="AC119" s="442">
        <v>50</v>
      </c>
      <c r="AD119" s="443">
        <v>0</v>
      </c>
      <c r="AE119" s="441">
        <v>558</v>
      </c>
    </row>
    <row r="120" spans="2:31" ht="12.75">
      <c r="B120" s="427"/>
      <c r="C120" s="429"/>
      <c r="D120" s="434"/>
      <c r="E120" s="429" t="s">
        <v>310</v>
      </c>
      <c r="F120" s="441"/>
      <c r="G120" s="442">
        <v>0</v>
      </c>
      <c r="H120" s="443">
        <v>0</v>
      </c>
      <c r="I120" s="442">
        <v>0</v>
      </c>
      <c r="J120" s="445">
        <v>0</v>
      </c>
      <c r="K120" s="441">
        <v>3108</v>
      </c>
      <c r="L120" s="442">
        <v>0</v>
      </c>
      <c r="M120" s="443">
        <v>4</v>
      </c>
      <c r="N120" s="442">
        <v>0</v>
      </c>
      <c r="O120" s="445">
        <v>0</v>
      </c>
      <c r="P120" s="441">
        <v>3104</v>
      </c>
      <c r="Q120" s="442">
        <v>0</v>
      </c>
      <c r="R120" s="443">
        <v>5</v>
      </c>
      <c r="S120" s="442">
        <v>0</v>
      </c>
      <c r="T120" s="445">
        <v>1</v>
      </c>
      <c r="U120" s="444">
        <v>3100</v>
      </c>
      <c r="V120" s="442">
        <v>0</v>
      </c>
      <c r="W120" s="443">
        <v>3</v>
      </c>
      <c r="X120" s="442">
        <v>0</v>
      </c>
      <c r="Y120" s="443">
        <v>3</v>
      </c>
      <c r="Z120" s="441">
        <v>3100</v>
      </c>
      <c r="AA120" s="442">
        <v>0</v>
      </c>
      <c r="AB120" s="443">
        <v>3</v>
      </c>
      <c r="AC120" s="442">
        <v>0</v>
      </c>
      <c r="AD120" s="443">
        <v>3</v>
      </c>
      <c r="AE120" s="441">
        <v>3100</v>
      </c>
    </row>
    <row r="121" spans="2:31" ht="12.75">
      <c r="B121" s="427"/>
      <c r="C121" s="429"/>
      <c r="D121" s="434"/>
      <c r="E121" s="459" t="s">
        <v>185</v>
      </c>
      <c r="F121" s="441"/>
      <c r="G121" s="442">
        <v>0</v>
      </c>
      <c r="H121" s="443">
        <v>0</v>
      </c>
      <c r="I121" s="442">
        <v>0</v>
      </c>
      <c r="J121" s="445">
        <v>0</v>
      </c>
      <c r="K121" s="441">
        <v>4710</v>
      </c>
      <c r="L121" s="442">
        <v>0</v>
      </c>
      <c r="M121" s="443">
        <v>0</v>
      </c>
      <c r="N121" s="442">
        <v>0</v>
      </c>
      <c r="O121" s="445">
        <v>0</v>
      </c>
      <c r="P121" s="441">
        <v>4710</v>
      </c>
      <c r="Q121" s="442">
        <v>0</v>
      </c>
      <c r="R121" s="443">
        <v>0</v>
      </c>
      <c r="S121" s="442">
        <v>0</v>
      </c>
      <c r="T121" s="445">
        <v>0</v>
      </c>
      <c r="U121" s="444">
        <v>4710</v>
      </c>
      <c r="V121" s="442">
        <v>0</v>
      </c>
      <c r="W121" s="443">
        <v>242</v>
      </c>
      <c r="X121" s="442">
        <v>0</v>
      </c>
      <c r="Y121" s="443">
        <v>242</v>
      </c>
      <c r="Z121" s="441">
        <v>4710</v>
      </c>
      <c r="AA121" s="442">
        <v>0</v>
      </c>
      <c r="AB121" s="443">
        <v>242</v>
      </c>
      <c r="AC121" s="442">
        <v>0</v>
      </c>
      <c r="AD121" s="443">
        <v>242</v>
      </c>
      <c r="AE121" s="441">
        <v>4710</v>
      </c>
    </row>
    <row r="122" spans="2:31" ht="12.75">
      <c r="B122" s="427"/>
      <c r="C122" s="429"/>
      <c r="D122" s="429"/>
      <c r="E122" s="429"/>
      <c r="F122" s="446"/>
      <c r="G122" s="447"/>
      <c r="H122" s="448"/>
      <c r="I122" s="447"/>
      <c r="J122" s="449"/>
      <c r="K122" s="446"/>
      <c r="L122" s="447"/>
      <c r="M122" s="448"/>
      <c r="N122" s="447"/>
      <c r="O122" s="449"/>
      <c r="P122" s="446"/>
      <c r="Q122" s="447"/>
      <c r="R122" s="448"/>
      <c r="S122" s="447"/>
      <c r="T122" s="449"/>
      <c r="U122" s="450"/>
      <c r="V122" s="447"/>
      <c r="W122" s="448"/>
      <c r="X122" s="447"/>
      <c r="Y122" s="448"/>
      <c r="Z122" s="446"/>
      <c r="AA122" s="447"/>
      <c r="AB122" s="448"/>
      <c r="AC122" s="447"/>
      <c r="AD122" s="448"/>
      <c r="AE122" s="446"/>
    </row>
    <row r="123" spans="2:31" ht="12.75">
      <c r="B123" s="427"/>
      <c r="C123" s="429"/>
      <c r="D123" s="434" t="s">
        <v>504</v>
      </c>
      <c r="E123" s="429"/>
      <c r="F123" s="446"/>
      <c r="G123" s="447"/>
      <c r="H123" s="448"/>
      <c r="I123" s="447"/>
      <c r="J123" s="449"/>
      <c r="K123" s="446"/>
      <c r="L123" s="447"/>
      <c r="M123" s="448"/>
      <c r="N123" s="447"/>
      <c r="O123" s="449"/>
      <c r="P123" s="446"/>
      <c r="Q123" s="447"/>
      <c r="R123" s="448"/>
      <c r="S123" s="447"/>
      <c r="T123" s="449"/>
      <c r="U123" s="450"/>
      <c r="V123" s="447"/>
      <c r="W123" s="448"/>
      <c r="X123" s="447"/>
      <c r="Y123" s="448"/>
      <c r="Z123" s="446"/>
      <c r="AA123" s="447"/>
      <c r="AB123" s="448"/>
      <c r="AC123" s="447"/>
      <c r="AD123" s="448"/>
      <c r="AE123" s="446"/>
    </row>
    <row r="124" spans="2:31" ht="12.75">
      <c r="B124" s="427"/>
      <c r="C124" s="429"/>
      <c r="D124" s="429"/>
      <c r="E124" s="429" t="s">
        <v>315</v>
      </c>
      <c r="F124" s="441"/>
      <c r="G124" s="442">
        <v>0</v>
      </c>
      <c r="H124" s="443">
        <v>0</v>
      </c>
      <c r="I124" s="442">
        <v>0</v>
      </c>
      <c r="J124" s="445">
        <v>0</v>
      </c>
      <c r="K124" s="441">
        <v>5.03</v>
      </c>
      <c r="L124" s="442">
        <v>0</v>
      </c>
      <c r="M124" s="443">
        <v>0</v>
      </c>
      <c r="N124" s="442">
        <v>1.8</v>
      </c>
      <c r="O124" s="445">
        <v>0</v>
      </c>
      <c r="P124" s="441">
        <v>6.83</v>
      </c>
      <c r="Q124" s="442">
        <v>0</v>
      </c>
      <c r="R124" s="443">
        <v>0</v>
      </c>
      <c r="S124" s="442">
        <v>1.1</v>
      </c>
      <c r="T124" s="445">
        <v>0</v>
      </c>
      <c r="U124" s="444">
        <v>7.93</v>
      </c>
      <c r="V124" s="442">
        <v>0</v>
      </c>
      <c r="W124" s="443">
        <v>0</v>
      </c>
      <c r="X124" s="442">
        <v>0</v>
      </c>
      <c r="Y124" s="443">
        <v>0</v>
      </c>
      <c r="Z124" s="441">
        <v>7.93</v>
      </c>
      <c r="AA124" s="442">
        <v>0</v>
      </c>
      <c r="AB124" s="443">
        <v>0</v>
      </c>
      <c r="AC124" s="442">
        <v>0</v>
      </c>
      <c r="AD124" s="443">
        <v>0</v>
      </c>
      <c r="AE124" s="441">
        <v>7.93</v>
      </c>
    </row>
    <row r="125" spans="2:31" ht="12.75">
      <c r="B125" s="427"/>
      <c r="C125" s="429"/>
      <c r="D125" s="429"/>
      <c r="E125" s="429" t="s">
        <v>440</v>
      </c>
      <c r="F125" s="441"/>
      <c r="G125" s="442">
        <v>0</v>
      </c>
      <c r="H125" s="443">
        <v>0</v>
      </c>
      <c r="I125" s="442">
        <v>0</v>
      </c>
      <c r="J125" s="445">
        <v>0</v>
      </c>
      <c r="K125" s="441">
        <v>67.6</v>
      </c>
      <c r="L125" s="442">
        <v>0.2</v>
      </c>
      <c r="M125" s="443">
        <v>0.2</v>
      </c>
      <c r="N125" s="442">
        <v>0</v>
      </c>
      <c r="O125" s="445">
        <v>0</v>
      </c>
      <c r="P125" s="441">
        <v>67.2</v>
      </c>
      <c r="Q125" s="442">
        <v>0</v>
      </c>
      <c r="R125" s="443">
        <v>-0.1</v>
      </c>
      <c r="S125" s="442">
        <v>0.1</v>
      </c>
      <c r="T125" s="445">
        <v>0.1</v>
      </c>
      <c r="U125" s="444">
        <v>67.5</v>
      </c>
      <c r="V125" s="442">
        <v>0</v>
      </c>
      <c r="W125" s="443">
        <v>0</v>
      </c>
      <c r="X125" s="442">
        <v>0</v>
      </c>
      <c r="Y125" s="443">
        <v>0</v>
      </c>
      <c r="Z125" s="441">
        <v>67.5</v>
      </c>
      <c r="AA125" s="442">
        <v>0</v>
      </c>
      <c r="AB125" s="443">
        <v>0</v>
      </c>
      <c r="AC125" s="442">
        <v>0</v>
      </c>
      <c r="AD125" s="443">
        <v>0</v>
      </c>
      <c r="AE125" s="441">
        <v>67.5</v>
      </c>
    </row>
    <row r="126" spans="2:31" ht="12.75">
      <c r="B126" s="427"/>
      <c r="C126" s="429"/>
      <c r="D126" s="429"/>
      <c r="E126" s="429" t="s">
        <v>405</v>
      </c>
      <c r="F126" s="441"/>
      <c r="G126" s="442">
        <v>0</v>
      </c>
      <c r="H126" s="443">
        <v>0</v>
      </c>
      <c r="I126" s="442">
        <v>0</v>
      </c>
      <c r="J126" s="445">
        <v>0</v>
      </c>
      <c r="K126" s="441">
        <v>0</v>
      </c>
      <c r="L126" s="442">
        <v>0</v>
      </c>
      <c r="M126" s="443">
        <v>0</v>
      </c>
      <c r="N126" s="442">
        <v>0</v>
      </c>
      <c r="O126" s="445">
        <v>0</v>
      </c>
      <c r="P126" s="441">
        <v>0</v>
      </c>
      <c r="Q126" s="442">
        <v>0</v>
      </c>
      <c r="R126" s="443">
        <v>0</v>
      </c>
      <c r="S126" s="442">
        <v>0</v>
      </c>
      <c r="T126" s="445">
        <v>0</v>
      </c>
      <c r="U126" s="444">
        <v>0</v>
      </c>
      <c r="V126" s="442">
        <v>0</v>
      </c>
      <c r="W126" s="443">
        <v>0</v>
      </c>
      <c r="X126" s="442">
        <v>0</v>
      </c>
      <c r="Y126" s="443">
        <v>0</v>
      </c>
      <c r="Z126" s="441">
        <v>0</v>
      </c>
      <c r="AA126" s="442">
        <v>0</v>
      </c>
      <c r="AB126" s="443">
        <v>0</v>
      </c>
      <c r="AC126" s="442">
        <v>0</v>
      </c>
      <c r="AD126" s="443">
        <v>0</v>
      </c>
      <c r="AE126" s="441">
        <v>0</v>
      </c>
    </row>
    <row r="127" spans="2:31" ht="12.75">
      <c r="B127" s="427"/>
      <c r="C127" s="429"/>
      <c r="D127" s="429"/>
      <c r="E127" s="429"/>
      <c r="F127" s="446"/>
      <c r="G127" s="447"/>
      <c r="H127" s="448"/>
      <c r="I127" s="447"/>
      <c r="J127" s="449"/>
      <c r="K127" s="446"/>
      <c r="L127" s="447"/>
      <c r="M127" s="448"/>
      <c r="N127" s="447"/>
      <c r="O127" s="449"/>
      <c r="P127" s="446"/>
      <c r="Q127" s="447"/>
      <c r="R127" s="448"/>
      <c r="S127" s="447"/>
      <c r="T127" s="449"/>
      <c r="U127" s="450"/>
      <c r="V127" s="447"/>
      <c r="W127" s="448"/>
      <c r="X127" s="447"/>
      <c r="Y127" s="448"/>
      <c r="Z127" s="446"/>
      <c r="AA127" s="447"/>
      <c r="AB127" s="448"/>
      <c r="AC127" s="447"/>
      <c r="AD127" s="448"/>
      <c r="AE127" s="446"/>
    </row>
    <row r="128" spans="2:31" ht="12.75">
      <c r="B128" s="427"/>
      <c r="C128" s="429"/>
      <c r="D128" s="434" t="s">
        <v>637</v>
      </c>
      <c r="E128" s="429"/>
      <c r="F128" s="446"/>
      <c r="G128" s="447"/>
      <c r="H128" s="448"/>
      <c r="I128" s="447"/>
      <c r="J128" s="449"/>
      <c r="K128" s="446"/>
      <c r="L128" s="447"/>
      <c r="M128" s="448"/>
      <c r="N128" s="447"/>
      <c r="O128" s="449"/>
      <c r="P128" s="446"/>
      <c r="Q128" s="447"/>
      <c r="R128" s="448"/>
      <c r="S128" s="447"/>
      <c r="T128" s="449"/>
      <c r="U128" s="450"/>
      <c r="V128" s="447"/>
      <c r="W128" s="448"/>
      <c r="X128" s="447"/>
      <c r="Y128" s="448"/>
      <c r="Z128" s="446"/>
      <c r="AA128" s="447"/>
      <c r="AB128" s="448"/>
      <c r="AC128" s="447"/>
      <c r="AD128" s="448"/>
      <c r="AE128" s="446"/>
    </row>
    <row r="129" spans="2:31" ht="12.75">
      <c r="B129" s="427"/>
      <c r="C129" s="429"/>
      <c r="D129" s="429"/>
      <c r="E129" s="459" t="s">
        <v>406</v>
      </c>
      <c r="F129" s="441"/>
      <c r="G129" s="442">
        <v>0</v>
      </c>
      <c r="H129" s="443">
        <v>0</v>
      </c>
      <c r="I129" s="442">
        <v>0</v>
      </c>
      <c r="J129" s="445">
        <v>0</v>
      </c>
      <c r="K129" s="441">
        <v>0</v>
      </c>
      <c r="L129" s="442">
        <v>0</v>
      </c>
      <c r="M129" s="443">
        <v>0</v>
      </c>
      <c r="N129" s="442">
        <v>0</v>
      </c>
      <c r="O129" s="445">
        <v>0</v>
      </c>
      <c r="P129" s="441">
        <v>0</v>
      </c>
      <c r="Q129" s="442">
        <v>0</v>
      </c>
      <c r="R129" s="443">
        <v>0</v>
      </c>
      <c r="S129" s="442">
        <v>0</v>
      </c>
      <c r="T129" s="445">
        <v>0</v>
      </c>
      <c r="U129" s="444">
        <v>0</v>
      </c>
      <c r="V129" s="442">
        <v>0</v>
      </c>
      <c r="W129" s="443">
        <v>0</v>
      </c>
      <c r="X129" s="442">
        <v>0</v>
      </c>
      <c r="Y129" s="443">
        <v>0</v>
      </c>
      <c r="Z129" s="441">
        <v>0</v>
      </c>
      <c r="AA129" s="442">
        <v>0</v>
      </c>
      <c r="AB129" s="443">
        <v>0</v>
      </c>
      <c r="AC129" s="442">
        <v>0</v>
      </c>
      <c r="AD129" s="443">
        <v>0</v>
      </c>
      <c r="AE129" s="441">
        <v>0</v>
      </c>
    </row>
    <row r="130" spans="2:31" ht="12.75">
      <c r="B130" s="427"/>
      <c r="C130" s="429"/>
      <c r="D130" s="429"/>
      <c r="E130" s="429"/>
      <c r="F130" s="446"/>
      <c r="G130" s="447"/>
      <c r="H130" s="448"/>
      <c r="I130" s="447"/>
      <c r="J130" s="449"/>
      <c r="K130" s="446"/>
      <c r="L130" s="447"/>
      <c r="M130" s="448"/>
      <c r="N130" s="447"/>
      <c r="O130" s="449"/>
      <c r="P130" s="446"/>
      <c r="Q130" s="447"/>
      <c r="R130" s="448"/>
      <c r="S130" s="447"/>
      <c r="T130" s="449"/>
      <c r="U130" s="450"/>
      <c r="V130" s="447"/>
      <c r="W130" s="448"/>
      <c r="X130" s="447"/>
      <c r="Y130" s="448"/>
      <c r="Z130" s="446"/>
      <c r="AA130" s="447"/>
      <c r="AB130" s="448"/>
      <c r="AC130" s="447"/>
      <c r="AD130" s="448"/>
      <c r="AE130" s="446"/>
    </row>
    <row r="131" spans="2:31" ht="12.75">
      <c r="B131" s="427"/>
      <c r="C131" s="429"/>
      <c r="D131" s="434" t="s">
        <v>223</v>
      </c>
      <c r="E131" s="429"/>
      <c r="F131" s="446"/>
      <c r="G131" s="447"/>
      <c r="H131" s="448"/>
      <c r="I131" s="447"/>
      <c r="J131" s="449"/>
      <c r="K131" s="446"/>
      <c r="L131" s="447"/>
      <c r="M131" s="448"/>
      <c r="N131" s="447"/>
      <c r="O131" s="449"/>
      <c r="P131" s="446"/>
      <c r="Q131" s="447"/>
      <c r="R131" s="448"/>
      <c r="S131" s="447"/>
      <c r="T131" s="449"/>
      <c r="U131" s="450"/>
      <c r="V131" s="447"/>
      <c r="W131" s="448"/>
      <c r="X131" s="447"/>
      <c r="Y131" s="448"/>
      <c r="Z131" s="446"/>
      <c r="AA131" s="447"/>
      <c r="AB131" s="448"/>
      <c r="AC131" s="447"/>
      <c r="AD131" s="448"/>
      <c r="AE131" s="446"/>
    </row>
    <row r="132" spans="2:31" ht="12.75">
      <c r="B132" s="427"/>
      <c r="C132" s="429"/>
      <c r="D132" s="429"/>
      <c r="E132" s="429" t="s">
        <v>407</v>
      </c>
      <c r="F132" s="441"/>
      <c r="G132" s="442">
        <v>8</v>
      </c>
      <c r="H132" s="443">
        <v>7</v>
      </c>
      <c r="I132" s="442">
        <v>0</v>
      </c>
      <c r="J132" s="445">
        <v>7</v>
      </c>
      <c r="K132" s="441">
        <v>150</v>
      </c>
      <c r="L132" s="442">
        <v>0</v>
      </c>
      <c r="M132" s="443">
        <v>2</v>
      </c>
      <c r="N132" s="442">
        <v>0</v>
      </c>
      <c r="O132" s="445">
        <v>4</v>
      </c>
      <c r="P132" s="441">
        <v>152</v>
      </c>
      <c r="Q132" s="442">
        <v>0</v>
      </c>
      <c r="R132" s="443">
        <v>1</v>
      </c>
      <c r="S132" s="442">
        <v>0</v>
      </c>
      <c r="T132" s="445">
        <v>2</v>
      </c>
      <c r="U132" s="444">
        <v>153</v>
      </c>
      <c r="V132" s="442">
        <v>0</v>
      </c>
      <c r="W132" s="443">
        <v>4</v>
      </c>
      <c r="X132" s="442">
        <v>0</v>
      </c>
      <c r="Y132" s="443">
        <v>4</v>
      </c>
      <c r="Z132" s="441">
        <v>153</v>
      </c>
      <c r="AA132" s="442">
        <v>0</v>
      </c>
      <c r="AB132" s="443">
        <v>4</v>
      </c>
      <c r="AC132" s="442">
        <v>0</v>
      </c>
      <c r="AD132" s="443">
        <v>4</v>
      </c>
      <c r="AE132" s="441">
        <v>153</v>
      </c>
    </row>
    <row r="133" spans="2:31" ht="12.75">
      <c r="B133" s="427"/>
      <c r="C133" s="429"/>
      <c r="D133" s="429"/>
      <c r="E133" s="429" t="s">
        <v>535</v>
      </c>
      <c r="F133" s="441"/>
      <c r="G133" s="442">
        <v>7</v>
      </c>
      <c r="H133" s="443">
        <v>4</v>
      </c>
      <c r="I133" s="442">
        <v>4</v>
      </c>
      <c r="J133" s="445">
        <v>4</v>
      </c>
      <c r="K133" s="441">
        <v>835</v>
      </c>
      <c r="L133" s="442">
        <v>0</v>
      </c>
      <c r="M133" s="443">
        <v>3</v>
      </c>
      <c r="N133" s="442">
        <v>13</v>
      </c>
      <c r="O133" s="445">
        <v>5</v>
      </c>
      <c r="P133" s="441">
        <v>850</v>
      </c>
      <c r="Q133" s="442">
        <v>0</v>
      </c>
      <c r="R133" s="443">
        <v>2</v>
      </c>
      <c r="S133" s="442">
        <v>1</v>
      </c>
      <c r="T133" s="445">
        <v>6</v>
      </c>
      <c r="U133" s="444">
        <v>855</v>
      </c>
      <c r="V133" s="442">
        <v>0</v>
      </c>
      <c r="W133" s="443">
        <v>0</v>
      </c>
      <c r="X133" s="442">
        <v>0</v>
      </c>
      <c r="Y133" s="443">
        <v>0</v>
      </c>
      <c r="Z133" s="441">
        <v>855</v>
      </c>
      <c r="AA133" s="442">
        <v>0</v>
      </c>
      <c r="AB133" s="443">
        <v>0</v>
      </c>
      <c r="AC133" s="442">
        <v>1</v>
      </c>
      <c r="AD133" s="443">
        <v>0</v>
      </c>
      <c r="AE133" s="441">
        <v>856</v>
      </c>
    </row>
    <row r="134" spans="2:31" ht="12.75">
      <c r="B134" s="427"/>
      <c r="C134" s="429"/>
      <c r="D134" s="429"/>
      <c r="E134" s="429"/>
      <c r="F134" s="446"/>
      <c r="G134" s="447"/>
      <c r="H134" s="448"/>
      <c r="I134" s="447"/>
      <c r="J134" s="449"/>
      <c r="K134" s="446"/>
      <c r="L134" s="447"/>
      <c r="M134" s="448"/>
      <c r="N134" s="447"/>
      <c r="O134" s="449"/>
      <c r="P134" s="446"/>
      <c r="Q134" s="447"/>
      <c r="R134" s="448"/>
      <c r="S134" s="447"/>
      <c r="T134" s="449"/>
      <c r="U134" s="450"/>
      <c r="V134" s="447"/>
      <c r="W134" s="448"/>
      <c r="X134" s="447"/>
      <c r="Y134" s="448"/>
      <c r="Z134" s="446"/>
      <c r="AA134" s="447"/>
      <c r="AB134" s="448"/>
      <c r="AC134" s="447"/>
      <c r="AD134" s="448"/>
      <c r="AE134" s="446"/>
    </row>
    <row r="135" spans="2:31" ht="12.75">
      <c r="B135" s="427"/>
      <c r="C135" s="429"/>
      <c r="D135" s="434" t="s">
        <v>258</v>
      </c>
      <c r="E135" s="429"/>
      <c r="F135" s="446"/>
      <c r="G135" s="447"/>
      <c r="H135" s="448"/>
      <c r="I135" s="447"/>
      <c r="J135" s="449"/>
      <c r="K135" s="446"/>
      <c r="L135" s="447"/>
      <c r="M135" s="448"/>
      <c r="N135" s="447"/>
      <c r="O135" s="449"/>
      <c r="P135" s="446"/>
      <c r="Q135" s="447"/>
      <c r="R135" s="448"/>
      <c r="S135" s="447"/>
      <c r="T135" s="449"/>
      <c r="U135" s="450"/>
      <c r="V135" s="447"/>
      <c r="W135" s="448"/>
      <c r="X135" s="447"/>
      <c r="Y135" s="448"/>
      <c r="Z135" s="446"/>
      <c r="AA135" s="447"/>
      <c r="AB135" s="448"/>
      <c r="AC135" s="447"/>
      <c r="AD135" s="448"/>
      <c r="AE135" s="446"/>
    </row>
    <row r="136" spans="2:31" ht="12.75">
      <c r="B136" s="427"/>
      <c r="C136" s="429"/>
      <c r="D136" s="429"/>
      <c r="E136" s="459" t="s">
        <v>536</v>
      </c>
      <c r="F136" s="441"/>
      <c r="G136" s="442">
        <v>0</v>
      </c>
      <c r="H136" s="443">
        <v>2</v>
      </c>
      <c r="I136" s="442">
        <v>0</v>
      </c>
      <c r="J136" s="445">
        <v>2</v>
      </c>
      <c r="K136" s="441">
        <v>92</v>
      </c>
      <c r="L136" s="442">
        <v>0</v>
      </c>
      <c r="M136" s="443">
        <v>0</v>
      </c>
      <c r="N136" s="442">
        <v>1</v>
      </c>
      <c r="O136" s="445">
        <v>1</v>
      </c>
      <c r="P136" s="441">
        <v>94</v>
      </c>
      <c r="Q136" s="442">
        <v>0</v>
      </c>
      <c r="R136" s="443">
        <v>3</v>
      </c>
      <c r="S136" s="442">
        <v>0</v>
      </c>
      <c r="T136" s="445">
        <v>3</v>
      </c>
      <c r="U136" s="444">
        <v>94</v>
      </c>
      <c r="V136" s="442">
        <v>0</v>
      </c>
      <c r="W136" s="443">
        <v>3</v>
      </c>
      <c r="X136" s="442">
        <v>1</v>
      </c>
      <c r="Y136" s="443">
        <v>3</v>
      </c>
      <c r="Z136" s="441">
        <v>95</v>
      </c>
      <c r="AA136" s="442">
        <v>2</v>
      </c>
      <c r="AB136" s="443">
        <v>3</v>
      </c>
      <c r="AC136" s="442">
        <v>1</v>
      </c>
      <c r="AD136" s="443">
        <v>3</v>
      </c>
      <c r="AE136" s="441">
        <v>94</v>
      </c>
    </row>
    <row r="137" spans="2:31" ht="12.75">
      <c r="B137" s="427"/>
      <c r="C137" s="429"/>
      <c r="D137" s="429"/>
      <c r="E137" s="459" t="s">
        <v>408</v>
      </c>
      <c r="F137" s="441"/>
      <c r="G137" s="442">
        <v>0</v>
      </c>
      <c r="H137" s="443">
        <v>3</v>
      </c>
      <c r="I137" s="442">
        <v>0</v>
      </c>
      <c r="J137" s="445">
        <v>3</v>
      </c>
      <c r="K137" s="441">
        <v>164</v>
      </c>
      <c r="L137" s="442">
        <v>1</v>
      </c>
      <c r="M137" s="443">
        <v>1</v>
      </c>
      <c r="N137" s="442">
        <v>1</v>
      </c>
      <c r="O137" s="445">
        <v>1</v>
      </c>
      <c r="P137" s="441">
        <v>164</v>
      </c>
      <c r="Q137" s="442">
        <v>1</v>
      </c>
      <c r="R137" s="443">
        <v>5</v>
      </c>
      <c r="S137" s="442">
        <v>0</v>
      </c>
      <c r="T137" s="445">
        <v>5</v>
      </c>
      <c r="U137" s="444">
        <v>163</v>
      </c>
      <c r="V137" s="442">
        <v>0</v>
      </c>
      <c r="W137" s="443">
        <v>0</v>
      </c>
      <c r="X137" s="442">
        <v>0</v>
      </c>
      <c r="Y137" s="443">
        <v>0</v>
      </c>
      <c r="Z137" s="441">
        <v>163</v>
      </c>
      <c r="AA137" s="442">
        <v>2</v>
      </c>
      <c r="AB137" s="443">
        <v>0</v>
      </c>
      <c r="AC137" s="442">
        <v>0</v>
      </c>
      <c r="AD137" s="443">
        <v>0</v>
      </c>
      <c r="AE137" s="441">
        <v>161</v>
      </c>
    </row>
    <row r="138" spans="2:31" ht="13.5" thickBot="1">
      <c r="B138" s="417"/>
      <c r="C138" s="418"/>
      <c r="D138" s="418"/>
      <c r="E138" s="418"/>
      <c r="F138" s="451"/>
      <c r="G138" s="452"/>
      <c r="H138" s="453"/>
      <c r="I138" s="452"/>
      <c r="J138" s="454"/>
      <c r="K138" s="455"/>
      <c r="L138" s="452"/>
      <c r="M138" s="453"/>
      <c r="N138" s="452"/>
      <c r="O138" s="454"/>
      <c r="P138" s="455"/>
      <c r="Q138" s="452"/>
      <c r="R138" s="453"/>
      <c r="S138" s="452"/>
      <c r="T138" s="454"/>
      <c r="U138" s="456">
        <v>0</v>
      </c>
      <c r="V138" s="452"/>
      <c r="W138" s="453"/>
      <c r="X138" s="452"/>
      <c r="Y138" s="453"/>
      <c r="Z138" s="455"/>
      <c r="AA138" s="452"/>
      <c r="AB138" s="453"/>
      <c r="AC138" s="452"/>
      <c r="AD138" s="453"/>
      <c r="AE138" s="455"/>
    </row>
    <row r="139" spans="2:31" ht="12.75">
      <c r="B139" s="457"/>
      <c r="C139" s="458" t="s">
        <v>284</v>
      </c>
      <c r="D139" s="458"/>
      <c r="E139" s="459"/>
      <c r="F139" s="446"/>
      <c r="G139" s="447"/>
      <c r="H139" s="448"/>
      <c r="I139" s="447"/>
      <c r="J139" s="449"/>
      <c r="K139" s="446"/>
      <c r="L139" s="447"/>
      <c r="M139" s="448"/>
      <c r="N139" s="447"/>
      <c r="O139" s="449"/>
      <c r="P139" s="446"/>
      <c r="Q139" s="447"/>
      <c r="R139" s="448"/>
      <c r="S139" s="447"/>
      <c r="T139" s="449"/>
      <c r="U139" s="450"/>
      <c r="V139" s="447"/>
      <c r="W139" s="448"/>
      <c r="X139" s="447"/>
      <c r="Y139" s="448"/>
      <c r="Z139" s="446"/>
      <c r="AA139" s="447"/>
      <c r="AB139" s="448"/>
      <c r="AC139" s="447"/>
      <c r="AD139" s="448"/>
      <c r="AE139" s="446"/>
    </row>
    <row r="140" spans="2:31" ht="12.75">
      <c r="B140" s="427"/>
      <c r="C140" s="429"/>
      <c r="D140" s="434" t="s">
        <v>285</v>
      </c>
      <c r="E140" s="429"/>
      <c r="F140" s="446"/>
      <c r="G140" s="447"/>
      <c r="H140" s="448"/>
      <c r="I140" s="447"/>
      <c r="J140" s="449"/>
      <c r="K140" s="446"/>
      <c r="L140" s="447"/>
      <c r="M140" s="448"/>
      <c r="N140" s="447"/>
      <c r="O140" s="449"/>
      <c r="P140" s="446"/>
      <c r="Q140" s="447"/>
      <c r="R140" s="448"/>
      <c r="S140" s="447"/>
      <c r="T140" s="449"/>
      <c r="U140" s="450"/>
      <c r="V140" s="447"/>
      <c r="W140" s="448"/>
      <c r="X140" s="447"/>
      <c r="Y140" s="448"/>
      <c r="Z140" s="446"/>
      <c r="AA140" s="447"/>
      <c r="AB140" s="448"/>
      <c r="AC140" s="447"/>
      <c r="AD140" s="448"/>
      <c r="AE140" s="446"/>
    </row>
    <row r="141" spans="2:31" ht="12.75">
      <c r="B141" s="427"/>
      <c r="C141" s="429"/>
      <c r="D141" s="429"/>
      <c r="E141" s="459" t="s">
        <v>286</v>
      </c>
      <c r="F141" s="441"/>
      <c r="G141" s="442">
        <v>0</v>
      </c>
      <c r="H141" s="443">
        <v>0</v>
      </c>
      <c r="I141" s="442">
        <v>0</v>
      </c>
      <c r="J141" s="445">
        <v>0</v>
      </c>
      <c r="K141" s="441">
        <v>0</v>
      </c>
      <c r="L141" s="442">
        <v>0</v>
      </c>
      <c r="M141" s="443">
        <v>0</v>
      </c>
      <c r="N141" s="442">
        <v>0</v>
      </c>
      <c r="O141" s="445">
        <v>0</v>
      </c>
      <c r="P141" s="441">
        <v>0</v>
      </c>
      <c r="Q141" s="442">
        <v>0</v>
      </c>
      <c r="R141" s="443">
        <v>0</v>
      </c>
      <c r="S141" s="442">
        <v>0</v>
      </c>
      <c r="T141" s="445">
        <v>0</v>
      </c>
      <c r="U141" s="444">
        <v>0</v>
      </c>
      <c r="V141" s="442">
        <v>0</v>
      </c>
      <c r="W141" s="443">
        <v>0</v>
      </c>
      <c r="X141" s="442">
        <v>0</v>
      </c>
      <c r="Y141" s="443">
        <v>0</v>
      </c>
      <c r="Z141" s="441">
        <v>0</v>
      </c>
      <c r="AA141" s="442">
        <v>0</v>
      </c>
      <c r="AB141" s="443">
        <v>0</v>
      </c>
      <c r="AC141" s="442">
        <v>0</v>
      </c>
      <c r="AD141" s="443">
        <v>0</v>
      </c>
      <c r="AE141" s="441">
        <v>0</v>
      </c>
    </row>
    <row r="142" spans="2:31" ht="12.75">
      <c r="B142" s="427"/>
      <c r="C142" s="429"/>
      <c r="D142" s="429"/>
      <c r="E142" s="459" t="s">
        <v>538</v>
      </c>
      <c r="F142" s="441"/>
      <c r="G142" s="442">
        <v>0</v>
      </c>
      <c r="H142" s="443">
        <v>0</v>
      </c>
      <c r="I142" s="442">
        <v>0</v>
      </c>
      <c r="J142" s="445">
        <v>0</v>
      </c>
      <c r="K142" s="441">
        <v>389</v>
      </c>
      <c r="L142" s="442">
        <v>0</v>
      </c>
      <c r="M142" s="443">
        <v>0</v>
      </c>
      <c r="N142" s="442">
        <v>0</v>
      </c>
      <c r="O142" s="445">
        <v>0</v>
      </c>
      <c r="P142" s="441">
        <v>389</v>
      </c>
      <c r="Q142" s="442">
        <v>0</v>
      </c>
      <c r="R142" s="443">
        <v>0</v>
      </c>
      <c r="S142" s="442">
        <v>0</v>
      </c>
      <c r="T142" s="445">
        <v>0</v>
      </c>
      <c r="U142" s="444">
        <v>389</v>
      </c>
      <c r="V142" s="442">
        <v>0</v>
      </c>
      <c r="W142" s="443">
        <v>0</v>
      </c>
      <c r="X142" s="442">
        <v>2</v>
      </c>
      <c r="Y142" s="443">
        <v>0</v>
      </c>
      <c r="Z142" s="441">
        <v>391</v>
      </c>
      <c r="AA142" s="442">
        <v>0</v>
      </c>
      <c r="AB142" s="443">
        <v>0</v>
      </c>
      <c r="AC142" s="442">
        <v>2</v>
      </c>
      <c r="AD142" s="443">
        <v>0</v>
      </c>
      <c r="AE142" s="441">
        <v>393</v>
      </c>
    </row>
    <row r="143" spans="2:31" ht="12.75">
      <c r="B143" s="427"/>
      <c r="C143" s="459"/>
      <c r="D143" s="434"/>
      <c r="E143" s="429"/>
      <c r="F143" s="446"/>
      <c r="G143" s="447"/>
      <c r="H143" s="448"/>
      <c r="I143" s="447"/>
      <c r="J143" s="449"/>
      <c r="K143" s="446"/>
      <c r="L143" s="447"/>
      <c r="M143" s="448"/>
      <c r="N143" s="447"/>
      <c r="O143" s="449"/>
      <c r="P143" s="446"/>
      <c r="Q143" s="447"/>
      <c r="R143" s="448"/>
      <c r="S143" s="447"/>
      <c r="T143" s="449"/>
      <c r="U143" s="450"/>
      <c r="V143" s="447"/>
      <c r="W143" s="448"/>
      <c r="X143" s="447"/>
      <c r="Y143" s="448"/>
      <c r="Z143" s="446"/>
      <c r="AA143" s="447"/>
      <c r="AB143" s="448"/>
      <c r="AC143" s="447"/>
      <c r="AD143" s="448"/>
      <c r="AE143" s="446"/>
    </row>
    <row r="144" spans="2:31" ht="12.75">
      <c r="B144" s="427"/>
      <c r="C144" s="429"/>
      <c r="D144" s="434" t="s">
        <v>539</v>
      </c>
      <c r="E144" s="429"/>
      <c r="F144" s="446"/>
      <c r="G144" s="447"/>
      <c r="H144" s="448"/>
      <c r="I144" s="447"/>
      <c r="J144" s="449"/>
      <c r="K144" s="446"/>
      <c r="L144" s="447"/>
      <c r="M144" s="448"/>
      <c r="N144" s="447"/>
      <c r="O144" s="449"/>
      <c r="P144" s="446"/>
      <c r="Q144" s="447"/>
      <c r="R144" s="448"/>
      <c r="S144" s="447"/>
      <c r="T144" s="449"/>
      <c r="U144" s="450"/>
      <c r="V144" s="447"/>
      <c r="W144" s="448"/>
      <c r="X144" s="447"/>
      <c r="Y144" s="448"/>
      <c r="Z144" s="446"/>
      <c r="AA144" s="447"/>
      <c r="AB144" s="448"/>
      <c r="AC144" s="447"/>
      <c r="AD144" s="448"/>
      <c r="AE144" s="446"/>
    </row>
    <row r="145" spans="2:31" ht="12.75">
      <c r="B145" s="427"/>
      <c r="C145" s="429"/>
      <c r="D145" s="429"/>
      <c r="E145" s="459" t="s">
        <v>288</v>
      </c>
      <c r="F145" s="441"/>
      <c r="G145" s="442">
        <v>0</v>
      </c>
      <c r="H145" s="443">
        <v>0</v>
      </c>
      <c r="I145" s="442">
        <v>0</v>
      </c>
      <c r="J145" s="445">
        <v>0</v>
      </c>
      <c r="K145" s="441">
        <v>1747</v>
      </c>
      <c r="L145" s="442">
        <v>0</v>
      </c>
      <c r="M145" s="443">
        <v>0</v>
      </c>
      <c r="N145" s="442">
        <v>0</v>
      </c>
      <c r="O145" s="445">
        <v>0</v>
      </c>
      <c r="P145" s="441">
        <v>1747</v>
      </c>
      <c r="Q145" s="442">
        <v>0</v>
      </c>
      <c r="R145" s="443">
        <v>0</v>
      </c>
      <c r="S145" s="442">
        <v>0</v>
      </c>
      <c r="T145" s="445">
        <v>0</v>
      </c>
      <c r="U145" s="444">
        <v>1747</v>
      </c>
      <c r="V145" s="442">
        <v>0</v>
      </c>
      <c r="W145" s="443">
        <v>0</v>
      </c>
      <c r="X145" s="442">
        <v>0</v>
      </c>
      <c r="Y145" s="443">
        <v>0</v>
      </c>
      <c r="Z145" s="441">
        <v>1747</v>
      </c>
      <c r="AA145" s="442">
        <v>0</v>
      </c>
      <c r="AB145" s="443">
        <v>0</v>
      </c>
      <c r="AC145" s="442">
        <v>0</v>
      </c>
      <c r="AD145" s="443">
        <v>0</v>
      </c>
      <c r="AE145" s="441">
        <v>1747</v>
      </c>
    </row>
    <row r="146" spans="2:31" ht="12.75">
      <c r="B146" s="427"/>
      <c r="C146" s="429"/>
      <c r="D146" s="429"/>
      <c r="E146" s="459" t="s">
        <v>289</v>
      </c>
      <c r="F146" s="441"/>
      <c r="G146" s="442">
        <v>0</v>
      </c>
      <c r="H146" s="443">
        <v>0</v>
      </c>
      <c r="I146" s="442">
        <v>0</v>
      </c>
      <c r="J146" s="445">
        <v>0</v>
      </c>
      <c r="K146" s="441">
        <v>155</v>
      </c>
      <c r="L146" s="442">
        <v>0</v>
      </c>
      <c r="M146" s="443">
        <v>0</v>
      </c>
      <c r="N146" s="442">
        <v>0</v>
      </c>
      <c r="O146" s="445">
        <v>0</v>
      </c>
      <c r="P146" s="441">
        <v>155</v>
      </c>
      <c r="Q146" s="442">
        <v>0</v>
      </c>
      <c r="R146" s="443">
        <v>0</v>
      </c>
      <c r="S146" s="442">
        <v>0</v>
      </c>
      <c r="T146" s="445">
        <v>0</v>
      </c>
      <c r="U146" s="444">
        <v>155</v>
      </c>
      <c r="V146" s="442">
        <v>0</v>
      </c>
      <c r="W146" s="443">
        <v>0</v>
      </c>
      <c r="X146" s="442">
        <v>0</v>
      </c>
      <c r="Y146" s="443">
        <v>0</v>
      </c>
      <c r="Z146" s="441">
        <v>155</v>
      </c>
      <c r="AA146" s="442">
        <v>0</v>
      </c>
      <c r="AB146" s="443">
        <v>0</v>
      </c>
      <c r="AC146" s="442">
        <v>0</v>
      </c>
      <c r="AD146" s="443">
        <v>0</v>
      </c>
      <c r="AE146" s="441">
        <v>155</v>
      </c>
    </row>
    <row r="147" spans="2:31" ht="13.5" thickBot="1">
      <c r="B147" s="417"/>
      <c r="C147" s="418"/>
      <c r="D147" s="418"/>
      <c r="E147" s="418"/>
      <c r="F147" s="451"/>
      <c r="G147" s="452"/>
      <c r="H147" s="453"/>
      <c r="I147" s="452"/>
      <c r="J147" s="454"/>
      <c r="K147" s="455"/>
      <c r="L147" s="452"/>
      <c r="M147" s="453"/>
      <c r="N147" s="452"/>
      <c r="O147" s="454"/>
      <c r="P147" s="455"/>
      <c r="Q147" s="452"/>
      <c r="R147" s="453"/>
      <c r="S147" s="452"/>
      <c r="T147" s="454"/>
      <c r="U147" s="465"/>
      <c r="V147" s="452"/>
      <c r="W147" s="453"/>
      <c r="X147" s="452"/>
      <c r="Y147" s="453"/>
      <c r="Z147" s="455"/>
      <c r="AA147" s="452"/>
      <c r="AB147" s="453"/>
      <c r="AC147" s="452"/>
      <c r="AD147" s="453"/>
      <c r="AE147" s="455"/>
    </row>
  </sheetData>
  <sheetProtection/>
  <mergeCells count="15"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76">
      <selection activeCell="A76" sqref="A1:IV16384"/>
    </sheetView>
  </sheetViews>
  <sheetFormatPr defaultColWidth="8.8515625" defaultRowHeight="12.75"/>
  <cols>
    <col min="1" max="1" width="8.8515625" style="1312" customWidth="1"/>
    <col min="2" max="2" width="23.421875" style="1312" customWidth="1"/>
    <col min="3" max="16384" width="8.8515625" style="1312" customWidth="1"/>
  </cols>
  <sheetData>
    <row r="1" spans="1:6" ht="12.75">
      <c r="A1" s="1316" t="s">
        <v>415</v>
      </c>
      <c r="F1" s="389" t="s">
        <v>776</v>
      </c>
    </row>
    <row r="3" ht="12.75">
      <c r="A3" s="1316" t="s">
        <v>501</v>
      </c>
    </row>
    <row r="6" spans="1:20" ht="12.75">
      <c r="A6" s="391"/>
      <c r="B6" s="1317" t="s">
        <v>636</v>
      </c>
      <c r="C6" s="482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1318"/>
      <c r="S6" s="391"/>
      <c r="T6" s="391"/>
    </row>
    <row r="7" spans="1:20" ht="13.5" thickBot="1">
      <c r="A7" s="391"/>
      <c r="B7" s="391"/>
      <c r="C7" s="482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1318"/>
      <c r="S7" s="391"/>
      <c r="T7" s="391"/>
    </row>
    <row r="8" spans="1:20" ht="12.75">
      <c r="A8" s="391"/>
      <c r="B8" s="1319"/>
      <c r="C8" s="484"/>
      <c r="D8" s="1320" t="s">
        <v>547</v>
      </c>
      <c r="E8" s="1321"/>
      <c r="F8" s="1321"/>
      <c r="G8" s="1321"/>
      <c r="H8" s="487"/>
      <c r="I8" s="1321" t="s">
        <v>548</v>
      </c>
      <c r="J8" s="488"/>
      <c r="K8" s="488"/>
      <c r="L8" s="488"/>
      <c r="M8" s="487"/>
      <c r="N8" s="391"/>
      <c r="O8" s="1322" t="s">
        <v>547</v>
      </c>
      <c r="P8" s="1323"/>
      <c r="Q8" s="1324"/>
      <c r="R8" s="1318"/>
      <c r="S8" s="1322" t="s">
        <v>548</v>
      </c>
      <c r="T8" s="1324"/>
    </row>
    <row r="9" spans="1:20" ht="25.5">
      <c r="A9" s="391"/>
      <c r="B9" s="492"/>
      <c r="C9" s="1325" t="s">
        <v>741</v>
      </c>
      <c r="D9" s="1326" t="s">
        <v>742</v>
      </c>
      <c r="E9" s="1327" t="s">
        <v>743</v>
      </c>
      <c r="F9" s="1327" t="s">
        <v>739</v>
      </c>
      <c r="G9" s="1327" t="s">
        <v>609</v>
      </c>
      <c r="H9" s="1328" t="s">
        <v>610</v>
      </c>
      <c r="I9" s="1329" t="s">
        <v>549</v>
      </c>
      <c r="J9" s="1327" t="s">
        <v>706</v>
      </c>
      <c r="K9" s="1327" t="s">
        <v>707</v>
      </c>
      <c r="L9" s="1327" t="s">
        <v>708</v>
      </c>
      <c r="M9" s="1328" t="s">
        <v>709</v>
      </c>
      <c r="N9" s="391"/>
      <c r="O9" s="1330" t="s">
        <v>690</v>
      </c>
      <c r="P9" s="1331" t="s">
        <v>691</v>
      </c>
      <c r="Q9" s="1332" t="s">
        <v>757</v>
      </c>
      <c r="R9" s="1318"/>
      <c r="S9" s="1330" t="s">
        <v>691</v>
      </c>
      <c r="T9" s="1332" t="s">
        <v>692</v>
      </c>
    </row>
    <row r="10" spans="1:20" ht="12.75">
      <c r="A10" s="391"/>
      <c r="B10" s="496" t="s">
        <v>722</v>
      </c>
      <c r="C10" s="1333" t="s">
        <v>593</v>
      </c>
      <c r="D10" s="1334">
        <v>22.799999999999997</v>
      </c>
      <c r="E10" s="1335">
        <v>21.8</v>
      </c>
      <c r="F10" s="1335">
        <v>23.500000000000004</v>
      </c>
      <c r="G10" s="1335">
        <v>24.400000000000002</v>
      </c>
      <c r="H10" s="1336">
        <v>24.3</v>
      </c>
      <c r="I10" s="1335">
        <v>19.2</v>
      </c>
      <c r="J10" s="1337">
        <v>19.7</v>
      </c>
      <c r="K10" s="1337">
        <v>19.1</v>
      </c>
      <c r="L10" s="1337">
        <v>19.1</v>
      </c>
      <c r="M10" s="1336">
        <v>19.1</v>
      </c>
      <c r="N10" s="391"/>
      <c r="O10" s="392">
        <v>68.1</v>
      </c>
      <c r="P10" s="393">
        <v>48.7</v>
      </c>
      <c r="Q10" s="394">
        <v>116.8</v>
      </c>
      <c r="R10" s="1318"/>
      <c r="S10" s="392">
        <v>96.19999999999999</v>
      </c>
      <c r="T10" s="1338">
        <v>-0.1763698630136987</v>
      </c>
    </row>
    <row r="11" spans="1:20" ht="12.75">
      <c r="A11" s="391"/>
      <c r="B11" s="496" t="s">
        <v>723</v>
      </c>
      <c r="C11" s="1333" t="s">
        <v>593</v>
      </c>
      <c r="D11" s="1339">
        <v>20.099999999999998</v>
      </c>
      <c r="E11" s="1340">
        <v>21.000000000000004</v>
      </c>
      <c r="F11" s="1340">
        <v>21.000000000000004</v>
      </c>
      <c r="G11" s="1340">
        <v>21.8</v>
      </c>
      <c r="H11" s="1341">
        <v>20.400000000000002</v>
      </c>
      <c r="I11" s="1340">
        <v>17.900000000000002</v>
      </c>
      <c r="J11" s="1342">
        <v>18.4</v>
      </c>
      <c r="K11" s="1342">
        <v>17.9</v>
      </c>
      <c r="L11" s="1342">
        <v>17.9</v>
      </c>
      <c r="M11" s="1341">
        <v>17.9</v>
      </c>
      <c r="N11" s="391"/>
      <c r="O11" s="392">
        <v>62.10000000000001</v>
      </c>
      <c r="P11" s="393">
        <v>42.2</v>
      </c>
      <c r="Q11" s="394">
        <v>104.30000000000001</v>
      </c>
      <c r="R11" s="1318"/>
      <c r="S11" s="392">
        <v>90</v>
      </c>
      <c r="T11" s="1338">
        <v>-0.1371045062320231</v>
      </c>
    </row>
    <row r="12" spans="1:20" ht="12.75">
      <c r="A12" s="391"/>
      <c r="B12" s="496" t="s">
        <v>395</v>
      </c>
      <c r="C12" s="1333" t="s">
        <v>593</v>
      </c>
      <c r="D12" s="1343">
        <v>2.6999999999999993</v>
      </c>
      <c r="E12" s="1344">
        <v>0.7999999999999972</v>
      </c>
      <c r="F12" s="1344">
        <v>2.5</v>
      </c>
      <c r="G12" s="1344">
        <v>2.6000000000000014</v>
      </c>
      <c r="H12" s="1345">
        <v>3.8999999999999986</v>
      </c>
      <c r="I12" s="1346">
        <v>1.2999999999999972</v>
      </c>
      <c r="J12" s="1344">
        <v>1.3000000000000007</v>
      </c>
      <c r="K12" s="1344">
        <v>1.2000000000000028</v>
      </c>
      <c r="L12" s="1344">
        <v>1.2000000000000028</v>
      </c>
      <c r="M12" s="1345">
        <v>1.2000000000000028</v>
      </c>
      <c r="N12" s="391"/>
      <c r="O12" s="392">
        <v>5.9999999999999964</v>
      </c>
      <c r="P12" s="393">
        <v>6.5</v>
      </c>
      <c r="Q12" s="394">
        <v>12.499999999999996</v>
      </c>
      <c r="R12" s="1318"/>
      <c r="S12" s="392">
        <v>6.200000000000006</v>
      </c>
      <c r="T12" s="1338">
        <v>-0.5039999999999993</v>
      </c>
    </row>
    <row r="13" spans="1:20" ht="12.75">
      <c r="A13" s="391"/>
      <c r="B13" s="496" t="s">
        <v>725</v>
      </c>
      <c r="C13" s="1333" t="s">
        <v>593</v>
      </c>
      <c r="D13" s="1339">
        <v>1.3</v>
      </c>
      <c r="E13" s="1340">
        <v>2.9</v>
      </c>
      <c r="F13" s="1340">
        <v>6.8</v>
      </c>
      <c r="G13" s="1340">
        <v>8.3</v>
      </c>
      <c r="H13" s="1341">
        <v>7.8</v>
      </c>
      <c r="I13" s="1340">
        <v>6.8</v>
      </c>
      <c r="J13" s="1342">
        <v>7</v>
      </c>
      <c r="K13" s="1342">
        <v>6.8</v>
      </c>
      <c r="L13" s="1342">
        <v>6.8</v>
      </c>
      <c r="M13" s="1341">
        <v>6.8</v>
      </c>
      <c r="N13" s="391"/>
      <c r="O13" s="392">
        <v>11</v>
      </c>
      <c r="P13" s="393">
        <v>16.1</v>
      </c>
      <c r="Q13" s="394">
        <v>27.1</v>
      </c>
      <c r="R13" s="1318"/>
      <c r="S13" s="392">
        <v>34.2</v>
      </c>
      <c r="T13" s="1338">
        <v>0.2619926199261993</v>
      </c>
    </row>
    <row r="14" spans="1:20" ht="13.5" thickBot="1">
      <c r="A14" s="391"/>
      <c r="B14" s="497" t="s">
        <v>53</v>
      </c>
      <c r="C14" s="1347" t="s">
        <v>593</v>
      </c>
      <c r="D14" s="1348">
        <v>1.3999999999999992</v>
      </c>
      <c r="E14" s="1349">
        <v>-2.1000000000000028</v>
      </c>
      <c r="F14" s="1349">
        <v>-4.3</v>
      </c>
      <c r="G14" s="1349">
        <v>-5.699999999999999</v>
      </c>
      <c r="H14" s="1350">
        <v>-3.9000000000000012</v>
      </c>
      <c r="I14" s="1351">
        <v>-5.500000000000003</v>
      </c>
      <c r="J14" s="1349">
        <v>-5.699999999999999</v>
      </c>
      <c r="K14" s="1349">
        <v>-5.599999999999997</v>
      </c>
      <c r="L14" s="1349">
        <v>-5.599999999999997</v>
      </c>
      <c r="M14" s="1350">
        <v>-5.599999999999997</v>
      </c>
      <c r="N14" s="391"/>
      <c r="O14" s="405">
        <v>-5.0000000000000036</v>
      </c>
      <c r="P14" s="406">
        <v>-9.600000000000001</v>
      </c>
      <c r="Q14" s="407">
        <v>-14.600000000000005</v>
      </c>
      <c r="R14" s="1318"/>
      <c r="S14" s="405">
        <v>-27.999999999999996</v>
      </c>
      <c r="T14" s="1352">
        <v>0.9178082191780813</v>
      </c>
    </row>
    <row r="15" spans="1:20" ht="12.75">
      <c r="A15" s="391"/>
      <c r="B15" s="391"/>
      <c r="C15" s="482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1318"/>
      <c r="S15" s="391"/>
      <c r="T15" s="391"/>
    </row>
    <row r="16" spans="1:20" ht="12.75">
      <c r="A16" s="391"/>
      <c r="B16" s="1317" t="s">
        <v>54</v>
      </c>
      <c r="C16" s="482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391"/>
      <c r="P16" s="391"/>
      <c r="Q16" s="391"/>
      <c r="R16" s="1318"/>
      <c r="S16" s="498"/>
      <c r="T16" s="498"/>
    </row>
    <row r="17" spans="1:20" ht="13.5" thickBot="1">
      <c r="A17" s="391"/>
      <c r="B17" s="1317"/>
      <c r="C17" s="482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1318"/>
      <c r="O17" s="1318"/>
      <c r="P17" s="1318"/>
      <c r="Q17" s="1318"/>
      <c r="R17" s="1318"/>
      <c r="S17" s="1318"/>
      <c r="T17" s="1318"/>
    </row>
    <row r="18" spans="1:20" ht="12.75">
      <c r="A18" s="391"/>
      <c r="B18" s="1319"/>
      <c r="C18" s="484"/>
      <c r="D18" s="1320" t="s">
        <v>547</v>
      </c>
      <c r="E18" s="1321"/>
      <c r="F18" s="1321"/>
      <c r="G18" s="1321"/>
      <c r="H18" s="487"/>
      <c r="I18" s="1321" t="s">
        <v>548</v>
      </c>
      <c r="J18" s="488"/>
      <c r="K18" s="488"/>
      <c r="L18" s="488"/>
      <c r="M18" s="487"/>
      <c r="N18" s="1318"/>
      <c r="O18" s="1318"/>
      <c r="P18" s="1318"/>
      <c r="Q18" s="1318"/>
      <c r="R18" s="1318"/>
      <c r="S18" s="1318"/>
      <c r="T18" s="1318"/>
    </row>
    <row r="19" spans="1:20" ht="12.75">
      <c r="A19" s="391"/>
      <c r="B19" s="492"/>
      <c r="C19" s="1325" t="s">
        <v>741</v>
      </c>
      <c r="D19" s="1326" t="s">
        <v>742</v>
      </c>
      <c r="E19" s="1327" t="s">
        <v>743</v>
      </c>
      <c r="F19" s="1327" t="s">
        <v>739</v>
      </c>
      <c r="G19" s="1327" t="s">
        <v>609</v>
      </c>
      <c r="H19" s="1328" t="s">
        <v>610</v>
      </c>
      <c r="I19" s="1329" t="s">
        <v>549</v>
      </c>
      <c r="J19" s="1327" t="s">
        <v>706</v>
      </c>
      <c r="K19" s="1327" t="s">
        <v>707</v>
      </c>
      <c r="L19" s="1327" t="s">
        <v>708</v>
      </c>
      <c r="M19" s="1328" t="s">
        <v>709</v>
      </c>
      <c r="N19" s="1318"/>
      <c r="O19" s="1318"/>
      <c r="P19" s="1318"/>
      <c r="Q19" s="1318"/>
      <c r="R19" s="1318"/>
      <c r="S19" s="1318"/>
      <c r="T19" s="1318"/>
    </row>
    <row r="20" spans="1:20" ht="12.75">
      <c r="A20" s="391"/>
      <c r="B20" s="1353"/>
      <c r="C20" s="499"/>
      <c r="D20" s="500"/>
      <c r="E20" s="1354"/>
      <c r="F20" s="1354"/>
      <c r="G20" s="1354"/>
      <c r="H20" s="501"/>
      <c r="I20" s="1354"/>
      <c r="J20" s="1354"/>
      <c r="K20" s="1354"/>
      <c r="L20" s="1354"/>
      <c r="M20" s="501"/>
      <c r="N20" s="1318"/>
      <c r="O20" s="1318"/>
      <c r="P20" s="1318"/>
      <c r="Q20" s="1318"/>
      <c r="R20" s="1318"/>
      <c r="S20" s="1318"/>
      <c r="T20" s="1318"/>
    </row>
    <row r="21" spans="1:20" ht="25.5">
      <c r="A21" s="391"/>
      <c r="B21" s="1355" t="s">
        <v>55</v>
      </c>
      <c r="C21" s="1333" t="s">
        <v>755</v>
      </c>
      <c r="D21" s="1356">
        <v>2966.4767497</v>
      </c>
      <c r="E21" s="1340">
        <v>2806.9</v>
      </c>
      <c r="F21" s="1340">
        <v>2953.3786</v>
      </c>
      <c r="G21" s="1340">
        <v>2953.3786</v>
      </c>
      <c r="H21" s="1341">
        <v>2953.3786</v>
      </c>
      <c r="I21" s="1340">
        <v>2982.912386</v>
      </c>
      <c r="J21" s="1342">
        <v>3012.74150986</v>
      </c>
      <c r="K21" s="1342">
        <v>3042.8689249586</v>
      </c>
      <c r="L21" s="1342">
        <v>3073.297614208186</v>
      </c>
      <c r="M21" s="1341">
        <v>3104.030590350268</v>
      </c>
      <c r="N21" s="1318"/>
      <c r="O21" s="1318"/>
      <c r="P21" s="1318"/>
      <c r="Q21" s="1318"/>
      <c r="R21" s="1318"/>
      <c r="S21" s="1318"/>
      <c r="T21" s="1318"/>
    </row>
    <row r="22" spans="1:20" ht="25.5">
      <c r="A22" s="391"/>
      <c r="B22" s="1355" t="s">
        <v>297</v>
      </c>
      <c r="C22" s="1333" t="s">
        <v>755</v>
      </c>
      <c r="D22" s="1339">
        <v>23.979400000000002</v>
      </c>
      <c r="E22" s="1340">
        <v>-159.5767496999997</v>
      </c>
      <c r="F22" s="1340">
        <v>146.47859999999991</v>
      </c>
      <c r="G22" s="1340">
        <v>0</v>
      </c>
      <c r="H22" s="1341">
        <v>0</v>
      </c>
      <c r="I22" s="1340">
        <v>29.533785999999964</v>
      </c>
      <c r="J22" s="1342">
        <v>29.82912385999998</v>
      </c>
      <c r="K22" s="1342">
        <v>30.127415098600068</v>
      </c>
      <c r="L22" s="1342">
        <v>30.428689249586114</v>
      </c>
      <c r="M22" s="1341">
        <v>30.732976142081952</v>
      </c>
      <c r="N22" s="1318"/>
      <c r="O22" s="1318"/>
      <c r="P22" s="1318"/>
      <c r="Q22" s="1318"/>
      <c r="R22" s="1318"/>
      <c r="S22" s="1318"/>
      <c r="T22" s="1318"/>
    </row>
    <row r="23" spans="1:20" ht="38.25">
      <c r="A23" s="391"/>
      <c r="B23" s="1357" t="s">
        <v>294</v>
      </c>
      <c r="C23" s="1333" t="s">
        <v>755</v>
      </c>
      <c r="D23" s="466">
        <v>23.979400000000002</v>
      </c>
      <c r="E23" s="467">
        <v>24.9807</v>
      </c>
      <c r="F23" s="467">
        <v>29.430300000000003</v>
      </c>
      <c r="G23" s="467">
        <v>23.259999999999998</v>
      </c>
      <c r="H23" s="468">
        <v>22.93</v>
      </c>
      <c r="I23" s="467">
        <v>24.200000000000003</v>
      </c>
      <c r="J23" s="469">
        <v>26.05</v>
      </c>
      <c r="K23" s="469">
        <v>26.05</v>
      </c>
      <c r="L23" s="469">
        <v>26.05</v>
      </c>
      <c r="M23" s="468">
        <v>26.05</v>
      </c>
      <c r="N23" s="1318"/>
      <c r="O23" s="1318"/>
      <c r="P23" s="1318"/>
      <c r="Q23" s="1318"/>
      <c r="R23" s="1318"/>
      <c r="S23" s="1318"/>
      <c r="T23" s="1318"/>
    </row>
    <row r="24" spans="1:20" ht="38.25">
      <c r="A24" s="391"/>
      <c r="B24" s="1357" t="s">
        <v>295</v>
      </c>
      <c r="C24" s="1333" t="s">
        <v>755</v>
      </c>
      <c r="D24" s="466">
        <v>0</v>
      </c>
      <c r="E24" s="467">
        <v>-1.6116000000000001</v>
      </c>
      <c r="F24" s="467">
        <v>-2.1644</v>
      </c>
      <c r="G24" s="467">
        <v>-1.605</v>
      </c>
      <c r="H24" s="468">
        <v>-1.55</v>
      </c>
      <c r="I24" s="467">
        <v>-2.105</v>
      </c>
      <c r="J24" s="469">
        <v>-2.638</v>
      </c>
      <c r="K24" s="469">
        <v>-2.638</v>
      </c>
      <c r="L24" s="469">
        <v>-2.638</v>
      </c>
      <c r="M24" s="468">
        <v>-2.638</v>
      </c>
      <c r="N24" s="1318"/>
      <c r="O24" s="1318"/>
      <c r="P24" s="1318"/>
      <c r="Q24" s="1318"/>
      <c r="R24" s="1318"/>
      <c r="S24" s="1318"/>
      <c r="T24" s="1318"/>
    </row>
    <row r="25" spans="1:20" ht="51">
      <c r="A25" s="391"/>
      <c r="B25" s="1357" t="s">
        <v>298</v>
      </c>
      <c r="C25" s="1333" t="s">
        <v>755</v>
      </c>
      <c r="D25" s="466">
        <v>0</v>
      </c>
      <c r="E25" s="467">
        <v>-182.9458496999997</v>
      </c>
      <c r="F25" s="467">
        <v>119.21269999999991</v>
      </c>
      <c r="G25" s="467">
        <v>-21.654999999999998</v>
      </c>
      <c r="H25" s="468">
        <v>-21.38</v>
      </c>
      <c r="I25" s="467">
        <v>7.438785999999961</v>
      </c>
      <c r="J25" s="469">
        <v>6.417123859999981</v>
      </c>
      <c r="K25" s="469">
        <v>6.715415098600067</v>
      </c>
      <c r="L25" s="469">
        <v>7.016689249586113</v>
      </c>
      <c r="M25" s="468">
        <v>7.3209761420819515</v>
      </c>
      <c r="N25" s="1318"/>
      <c r="O25" s="1318"/>
      <c r="P25" s="1318"/>
      <c r="Q25" s="1318"/>
      <c r="R25" s="1318"/>
      <c r="S25" s="1318"/>
      <c r="T25" s="1318"/>
    </row>
    <row r="26" spans="1:20" ht="12.75">
      <c r="A26" s="391"/>
      <c r="B26" s="1358"/>
      <c r="C26" s="502"/>
      <c r="D26" s="503"/>
      <c r="E26" s="504"/>
      <c r="F26" s="504"/>
      <c r="G26" s="504"/>
      <c r="H26" s="505"/>
      <c r="I26" s="504"/>
      <c r="J26" s="504"/>
      <c r="K26" s="504"/>
      <c r="L26" s="504"/>
      <c r="M26" s="505"/>
      <c r="N26" s="1318"/>
      <c r="O26" s="1318"/>
      <c r="P26" s="1318"/>
      <c r="Q26" s="1318"/>
      <c r="R26" s="1318"/>
      <c r="S26" s="1318"/>
      <c r="T26" s="1318"/>
    </row>
    <row r="27" spans="1:20" ht="25.5">
      <c r="A27" s="391"/>
      <c r="B27" s="1355" t="s">
        <v>173</v>
      </c>
      <c r="C27" s="1333" t="s">
        <v>622</v>
      </c>
      <c r="D27" s="1356">
        <v>16024.5860697</v>
      </c>
      <c r="E27" s="1340">
        <v>15403.975752400002</v>
      </c>
      <c r="F27" s="1340">
        <v>15215.522065790004</v>
      </c>
      <c r="G27" s="1340">
        <v>15009.522065790004</v>
      </c>
      <c r="H27" s="1341">
        <v>14995.122065790005</v>
      </c>
      <c r="I27" s="1340">
        <v>15145.0735256425</v>
      </c>
      <c r="J27" s="1342">
        <v>15296.524500093521</v>
      </c>
      <c r="K27" s="1342">
        <v>15449.489984289054</v>
      </c>
      <c r="L27" s="1342">
        <v>15603.985123326542</v>
      </c>
      <c r="M27" s="1341">
        <v>15760.025213754405</v>
      </c>
      <c r="N27" s="1318"/>
      <c r="O27" s="1318"/>
      <c r="P27" s="1318"/>
      <c r="Q27" s="1318"/>
      <c r="R27" s="1318"/>
      <c r="S27" s="1318"/>
      <c r="T27" s="1318"/>
    </row>
    <row r="28" spans="1:20" ht="25.5">
      <c r="A28" s="391"/>
      <c r="B28" s="1359" t="s">
        <v>299</v>
      </c>
      <c r="C28" s="1333" t="s">
        <v>622</v>
      </c>
      <c r="D28" s="1339">
        <v>372.472</v>
      </c>
      <c r="E28" s="1340">
        <v>-620.6103172999992</v>
      </c>
      <c r="F28" s="1340">
        <v>-188.45368660999702</v>
      </c>
      <c r="G28" s="1340">
        <v>-206</v>
      </c>
      <c r="H28" s="1341">
        <v>-14.400000000000006</v>
      </c>
      <c r="I28" s="1340">
        <v>149.95145985249474</v>
      </c>
      <c r="J28" s="1342">
        <v>151.45097445102147</v>
      </c>
      <c r="K28" s="1342">
        <v>152.96548419553255</v>
      </c>
      <c r="L28" s="1342">
        <v>154.49513903748812</v>
      </c>
      <c r="M28" s="1341">
        <v>156.0400904278631</v>
      </c>
      <c r="N28" s="1318"/>
      <c r="O28" s="1318"/>
      <c r="P28" s="1318"/>
      <c r="Q28" s="1318"/>
      <c r="R28" s="1318"/>
      <c r="S28" s="1318"/>
      <c r="T28" s="1318"/>
    </row>
    <row r="29" spans="1:20" ht="12.75">
      <c r="A29" s="391"/>
      <c r="B29" s="1360" t="s">
        <v>265</v>
      </c>
      <c r="C29" s="1333" t="s">
        <v>622</v>
      </c>
      <c r="D29" s="466">
        <v>372.472</v>
      </c>
      <c r="E29" s="467">
        <v>-620.6103172999992</v>
      </c>
      <c r="F29" s="467">
        <v>-188.45368660999702</v>
      </c>
      <c r="G29" s="467">
        <v>-53.8</v>
      </c>
      <c r="H29" s="468">
        <v>135.7</v>
      </c>
      <c r="I29" s="467">
        <v>149.95145985249474</v>
      </c>
      <c r="J29" s="469">
        <v>151.45097445102147</v>
      </c>
      <c r="K29" s="469">
        <v>152.96548419553255</v>
      </c>
      <c r="L29" s="469">
        <v>154.49513903748812</v>
      </c>
      <c r="M29" s="468">
        <v>156.0400904278631</v>
      </c>
      <c r="N29" s="1318"/>
      <c r="O29" s="1318"/>
      <c r="P29" s="1318"/>
      <c r="Q29" s="1318"/>
      <c r="R29" s="1318"/>
      <c r="S29" s="1318"/>
      <c r="T29" s="1318"/>
    </row>
    <row r="30" spans="1:20" ht="12.75">
      <c r="A30" s="391"/>
      <c r="B30" s="1360" t="s">
        <v>266</v>
      </c>
      <c r="C30" s="1333" t="s">
        <v>622</v>
      </c>
      <c r="D30" s="466">
        <v>0</v>
      </c>
      <c r="E30" s="467">
        <v>0</v>
      </c>
      <c r="F30" s="467">
        <v>0</v>
      </c>
      <c r="G30" s="467">
        <v>0</v>
      </c>
      <c r="H30" s="468">
        <v>0</v>
      </c>
      <c r="I30" s="467">
        <v>0</v>
      </c>
      <c r="J30" s="469">
        <v>0</v>
      </c>
      <c r="K30" s="469">
        <v>0</v>
      </c>
      <c r="L30" s="469">
        <v>0</v>
      </c>
      <c r="M30" s="468">
        <v>0</v>
      </c>
      <c r="N30" s="1318"/>
      <c r="O30" s="1318"/>
      <c r="P30" s="1318"/>
      <c r="Q30" s="1318"/>
      <c r="R30" s="1318"/>
      <c r="S30" s="1318"/>
      <c r="T30" s="1318"/>
    </row>
    <row r="31" spans="1:20" ht="12.75">
      <c r="A31" s="391"/>
      <c r="B31" s="1360" t="s">
        <v>267</v>
      </c>
      <c r="C31" s="1333" t="s">
        <v>622</v>
      </c>
      <c r="D31" s="466">
        <v>0</v>
      </c>
      <c r="E31" s="467">
        <v>0</v>
      </c>
      <c r="F31" s="467">
        <v>0</v>
      </c>
      <c r="G31" s="467">
        <v>0</v>
      </c>
      <c r="H31" s="468">
        <v>0</v>
      </c>
      <c r="I31" s="467">
        <v>0</v>
      </c>
      <c r="J31" s="469">
        <v>0</v>
      </c>
      <c r="K31" s="469">
        <v>0</v>
      </c>
      <c r="L31" s="469">
        <v>0</v>
      </c>
      <c r="M31" s="468">
        <v>0</v>
      </c>
      <c r="N31" s="1318"/>
      <c r="O31" s="1318"/>
      <c r="P31" s="1318"/>
      <c r="Q31" s="1318"/>
      <c r="R31" s="1318"/>
      <c r="S31" s="1318"/>
      <c r="T31" s="1318"/>
    </row>
    <row r="32" spans="1:20" ht="12.75">
      <c r="A32" s="391"/>
      <c r="B32" s="1360" t="s">
        <v>300</v>
      </c>
      <c r="C32" s="1333" t="s">
        <v>622</v>
      </c>
      <c r="D32" s="466">
        <v>0</v>
      </c>
      <c r="E32" s="467">
        <v>0</v>
      </c>
      <c r="F32" s="467">
        <v>0</v>
      </c>
      <c r="G32" s="467">
        <v>0</v>
      </c>
      <c r="H32" s="468">
        <v>0</v>
      </c>
      <c r="I32" s="467">
        <v>0</v>
      </c>
      <c r="J32" s="469">
        <v>0</v>
      </c>
      <c r="K32" s="469">
        <v>0</v>
      </c>
      <c r="L32" s="469">
        <v>0</v>
      </c>
      <c r="M32" s="468">
        <v>0</v>
      </c>
      <c r="N32" s="1318"/>
      <c r="O32" s="1318"/>
      <c r="P32" s="1318"/>
      <c r="Q32" s="1318"/>
      <c r="R32" s="1318"/>
      <c r="S32" s="1318"/>
      <c r="T32" s="1318"/>
    </row>
    <row r="33" spans="1:20" ht="12.75">
      <c r="A33" s="391"/>
      <c r="B33" s="1360" t="s">
        <v>301</v>
      </c>
      <c r="C33" s="1333" t="s">
        <v>622</v>
      </c>
      <c r="D33" s="466">
        <v>0</v>
      </c>
      <c r="E33" s="467">
        <v>0</v>
      </c>
      <c r="F33" s="467">
        <v>0</v>
      </c>
      <c r="G33" s="467">
        <v>0</v>
      </c>
      <c r="H33" s="468">
        <v>0</v>
      </c>
      <c r="I33" s="467">
        <v>0</v>
      </c>
      <c r="J33" s="469">
        <v>0</v>
      </c>
      <c r="K33" s="469">
        <v>0</v>
      </c>
      <c r="L33" s="469">
        <v>0</v>
      </c>
      <c r="M33" s="468">
        <v>0</v>
      </c>
      <c r="N33" s="1318"/>
      <c r="O33" s="1318"/>
      <c r="P33" s="1318"/>
      <c r="Q33" s="1318"/>
      <c r="R33" s="1318"/>
      <c r="S33" s="1318"/>
      <c r="T33" s="1318"/>
    </row>
    <row r="34" spans="1:20" ht="12.75">
      <c r="A34" s="391"/>
      <c r="B34" s="1360" t="s">
        <v>302</v>
      </c>
      <c r="C34" s="1333" t="s">
        <v>622</v>
      </c>
      <c r="D34" s="466">
        <v>0</v>
      </c>
      <c r="E34" s="467">
        <v>0</v>
      </c>
      <c r="F34" s="467">
        <v>0</v>
      </c>
      <c r="G34" s="467">
        <v>-152.2</v>
      </c>
      <c r="H34" s="468">
        <v>-150.1</v>
      </c>
      <c r="I34" s="467">
        <v>0</v>
      </c>
      <c r="J34" s="469">
        <v>0</v>
      </c>
      <c r="K34" s="469">
        <v>0</v>
      </c>
      <c r="L34" s="469">
        <v>0</v>
      </c>
      <c r="M34" s="468">
        <v>0</v>
      </c>
      <c r="N34" s="1318"/>
      <c r="O34" s="1318"/>
      <c r="P34" s="1318"/>
      <c r="Q34" s="1318"/>
      <c r="R34" s="1318"/>
      <c r="S34" s="1318"/>
      <c r="T34" s="1318"/>
    </row>
    <row r="35" spans="1:20" ht="12.75">
      <c r="A35" s="391"/>
      <c r="B35" s="1358"/>
      <c r="C35" s="502"/>
      <c r="D35" s="507"/>
      <c r="E35" s="508"/>
      <c r="F35" s="508"/>
      <c r="G35" s="508"/>
      <c r="H35" s="509"/>
      <c r="I35" s="508"/>
      <c r="J35" s="508"/>
      <c r="K35" s="508"/>
      <c r="L35" s="508"/>
      <c r="M35" s="509"/>
      <c r="N35" s="1318"/>
      <c r="O35" s="1318"/>
      <c r="P35" s="1318"/>
      <c r="Q35" s="1318"/>
      <c r="R35" s="1318"/>
      <c r="S35" s="1318"/>
      <c r="T35" s="1318"/>
    </row>
    <row r="36" spans="1:20" ht="25.5">
      <c r="A36" s="391"/>
      <c r="B36" s="1355" t="s">
        <v>173</v>
      </c>
      <c r="C36" s="1333"/>
      <c r="D36" s="510"/>
      <c r="E36" s="1361"/>
      <c r="F36" s="1361"/>
      <c r="G36" s="1361"/>
      <c r="H36" s="511"/>
      <c r="I36" s="1361"/>
      <c r="J36" s="1361"/>
      <c r="K36" s="1361"/>
      <c r="L36" s="1361"/>
      <c r="M36" s="511"/>
      <c r="N36" s="1318"/>
      <c r="O36" s="1318"/>
      <c r="P36" s="1318"/>
      <c r="Q36" s="1318"/>
      <c r="R36" s="1318"/>
      <c r="S36" s="1318"/>
      <c r="T36" s="1318"/>
    </row>
    <row r="37" spans="1:20" ht="12.75">
      <c r="A37" s="391"/>
      <c r="B37" s="1357" t="s">
        <v>751</v>
      </c>
      <c r="C37" s="1333" t="s">
        <v>622</v>
      </c>
      <c r="D37" s="466">
        <v>11741.478297000001</v>
      </c>
      <c r="E37" s="467">
        <v>11216.57701</v>
      </c>
      <c r="F37" s="467">
        <v>11135.698339690003</v>
      </c>
      <c r="G37" s="467">
        <v>11135.698339690003</v>
      </c>
      <c r="H37" s="468">
        <v>11135.698339690003</v>
      </c>
      <c r="I37" s="467">
        <v>11247.055323086903</v>
      </c>
      <c r="J37" s="469">
        <v>11359.525876317772</v>
      </c>
      <c r="K37" s="469">
        <v>11473.12113508095</v>
      </c>
      <c r="L37" s="469">
        <v>11587.852346431759</v>
      </c>
      <c r="M37" s="468">
        <v>11703.730869896077</v>
      </c>
      <c r="N37" s="1318"/>
      <c r="O37" s="1318"/>
      <c r="P37" s="1318"/>
      <c r="Q37" s="1318"/>
      <c r="R37" s="1318"/>
      <c r="S37" s="1318"/>
      <c r="T37" s="1318"/>
    </row>
    <row r="38" spans="1:20" ht="12.75">
      <c r="A38" s="391"/>
      <c r="B38" s="1357" t="s">
        <v>750</v>
      </c>
      <c r="C38" s="1333" t="s">
        <v>622</v>
      </c>
      <c r="D38" s="466">
        <v>3766.4622659</v>
      </c>
      <c r="E38" s="467">
        <v>3654.7326434</v>
      </c>
      <c r="F38" s="467">
        <v>3560.4307965</v>
      </c>
      <c r="G38" s="467">
        <v>3560.4307965</v>
      </c>
      <c r="H38" s="468">
        <v>3560.4307965</v>
      </c>
      <c r="I38" s="467">
        <v>3596.0351044649997</v>
      </c>
      <c r="J38" s="469">
        <v>3631.9954555096497</v>
      </c>
      <c r="K38" s="469">
        <v>3668.315410064746</v>
      </c>
      <c r="L38" s="469">
        <v>3704.998564165394</v>
      </c>
      <c r="M38" s="468">
        <v>3742.048549807048</v>
      </c>
      <c r="N38" s="1318"/>
      <c r="O38" s="1318"/>
      <c r="P38" s="1318"/>
      <c r="Q38" s="1318"/>
      <c r="R38" s="1318"/>
      <c r="S38" s="1318"/>
      <c r="T38" s="1318"/>
    </row>
    <row r="39" spans="1:20" ht="12.75">
      <c r="A39" s="391"/>
      <c r="B39" s="1357" t="s">
        <v>303</v>
      </c>
      <c r="C39" s="1333" t="s">
        <v>622</v>
      </c>
      <c r="D39" s="466">
        <v>516.6455068</v>
      </c>
      <c r="E39" s="467">
        <v>532.6660989999999</v>
      </c>
      <c r="F39" s="467">
        <v>519.3929296</v>
      </c>
      <c r="G39" s="467">
        <v>313.3995346400345</v>
      </c>
      <c r="H39" s="468">
        <v>299.0168490596834</v>
      </c>
      <c r="I39" s="467">
        <v>302.00701755028024</v>
      </c>
      <c r="J39" s="469">
        <v>305.027087725783</v>
      </c>
      <c r="K39" s="469">
        <v>308.07735860304086</v>
      </c>
      <c r="L39" s="469">
        <v>311.1581321890713</v>
      </c>
      <c r="M39" s="468">
        <v>314.269713510962</v>
      </c>
      <c r="N39" s="1318"/>
      <c r="O39" s="1318"/>
      <c r="P39" s="1318"/>
      <c r="Q39" s="1318"/>
      <c r="R39" s="1318"/>
      <c r="S39" s="1318"/>
      <c r="T39" s="1318"/>
    </row>
    <row r="40" spans="1:20" ht="12.75">
      <c r="A40" s="391"/>
      <c r="B40" s="1355" t="s">
        <v>296</v>
      </c>
      <c r="C40" s="1333" t="s">
        <v>622</v>
      </c>
      <c r="D40" s="1343">
        <v>16024.5860697</v>
      </c>
      <c r="E40" s="1346">
        <v>15403.975752400002</v>
      </c>
      <c r="F40" s="1346">
        <v>15215.522065790004</v>
      </c>
      <c r="G40" s="1346">
        <v>15009.52867083004</v>
      </c>
      <c r="H40" s="1345">
        <v>14995.145985249688</v>
      </c>
      <c r="I40" s="1346">
        <v>15145.097445102183</v>
      </c>
      <c r="J40" s="1344">
        <v>15296.548419553204</v>
      </c>
      <c r="K40" s="1344">
        <v>15449.513903748737</v>
      </c>
      <c r="L40" s="1344">
        <v>15604.009042786225</v>
      </c>
      <c r="M40" s="1345">
        <v>15760.049133214088</v>
      </c>
      <c r="N40" s="1318"/>
      <c r="O40" s="1318"/>
      <c r="P40" s="1318"/>
      <c r="Q40" s="1318"/>
      <c r="R40" s="1318"/>
      <c r="S40" s="1318"/>
      <c r="T40" s="1318"/>
    </row>
    <row r="41" spans="1:20" ht="12.75">
      <c r="A41" s="391"/>
      <c r="B41" s="1359"/>
      <c r="C41" s="1333"/>
      <c r="D41" s="503"/>
      <c r="E41" s="504"/>
      <c r="F41" s="504"/>
      <c r="G41" s="504"/>
      <c r="H41" s="505"/>
      <c r="I41" s="504"/>
      <c r="J41" s="504"/>
      <c r="K41" s="504"/>
      <c r="L41" s="504"/>
      <c r="M41" s="505"/>
      <c r="N41" s="1318"/>
      <c r="O41" s="1318"/>
      <c r="P41" s="1318"/>
      <c r="Q41" s="1318"/>
      <c r="R41" s="1318"/>
      <c r="S41" s="1318"/>
      <c r="T41" s="1318"/>
    </row>
    <row r="42" spans="1:20" ht="51">
      <c r="A42" s="391"/>
      <c r="B42" s="1359" t="s">
        <v>437</v>
      </c>
      <c r="C42" s="1333"/>
      <c r="D42" s="510"/>
      <c r="E42" s="1361"/>
      <c r="F42" s="1361"/>
      <c r="G42" s="1361"/>
      <c r="H42" s="511"/>
      <c r="I42" s="1361"/>
      <c r="J42" s="1361"/>
      <c r="K42" s="1361"/>
      <c r="L42" s="1361"/>
      <c r="M42" s="511"/>
      <c r="N42" s="1318"/>
      <c r="O42" s="1318"/>
      <c r="P42" s="1318"/>
      <c r="Q42" s="1318"/>
      <c r="R42" s="1318"/>
      <c r="S42" s="1318"/>
      <c r="T42" s="1318"/>
    </row>
    <row r="43" spans="1:20" ht="12.75">
      <c r="A43" s="391"/>
      <c r="B43" s="1357" t="s">
        <v>751</v>
      </c>
      <c r="C43" s="1333" t="s">
        <v>438</v>
      </c>
      <c r="D43" s="466">
        <v>60039</v>
      </c>
      <c r="E43" s="467">
        <v>59958.5</v>
      </c>
      <c r="F43" s="467">
        <v>70066.5</v>
      </c>
      <c r="G43" s="467">
        <v>53550</v>
      </c>
      <c r="H43" s="468">
        <v>50925</v>
      </c>
      <c r="I43" s="467">
        <v>49175</v>
      </c>
      <c r="J43" s="469">
        <v>49770</v>
      </c>
      <c r="K43" s="469">
        <v>48020</v>
      </c>
      <c r="L43" s="469">
        <v>48020</v>
      </c>
      <c r="M43" s="468">
        <v>48020</v>
      </c>
      <c r="N43" s="1318"/>
      <c r="O43" s="1318"/>
      <c r="P43" s="1318"/>
      <c r="Q43" s="1318"/>
      <c r="R43" s="1318"/>
      <c r="S43" s="1318"/>
      <c r="T43" s="1318"/>
    </row>
    <row r="44" spans="1:20" ht="12.75">
      <c r="A44" s="391"/>
      <c r="B44" s="1357" t="s">
        <v>750</v>
      </c>
      <c r="C44" s="1333" t="s">
        <v>438</v>
      </c>
      <c r="D44" s="466">
        <v>43800</v>
      </c>
      <c r="E44" s="467">
        <v>38105</v>
      </c>
      <c r="F44" s="467">
        <v>41610</v>
      </c>
      <c r="G44" s="467">
        <v>35040</v>
      </c>
      <c r="H44" s="468">
        <v>35040</v>
      </c>
      <c r="I44" s="467">
        <v>35040</v>
      </c>
      <c r="J44" s="469">
        <v>37230</v>
      </c>
      <c r="K44" s="469">
        <v>37230</v>
      </c>
      <c r="L44" s="469">
        <v>37230</v>
      </c>
      <c r="M44" s="468">
        <v>37230</v>
      </c>
      <c r="N44" s="1318"/>
      <c r="O44" s="1318"/>
      <c r="P44" s="1318"/>
      <c r="Q44" s="1318"/>
      <c r="R44" s="1318"/>
      <c r="S44" s="1318"/>
      <c r="T44" s="1318"/>
    </row>
    <row r="45" spans="1:20" ht="12.75">
      <c r="A45" s="391"/>
      <c r="B45" s="1357" t="s">
        <v>303</v>
      </c>
      <c r="C45" s="1333" t="s">
        <v>438</v>
      </c>
      <c r="D45" s="466">
        <v>0</v>
      </c>
      <c r="E45" s="467">
        <v>0</v>
      </c>
      <c r="F45" s="467">
        <v>0</v>
      </c>
      <c r="G45" s="467">
        <v>0</v>
      </c>
      <c r="H45" s="468">
        <v>0</v>
      </c>
      <c r="I45" s="467">
        <v>0</v>
      </c>
      <c r="J45" s="469">
        <v>0</v>
      </c>
      <c r="K45" s="469">
        <v>0</v>
      </c>
      <c r="L45" s="469">
        <v>0</v>
      </c>
      <c r="M45" s="468">
        <v>0</v>
      </c>
      <c r="N45" s="1318"/>
      <c r="O45" s="1318"/>
      <c r="P45" s="1318"/>
      <c r="Q45" s="1318"/>
      <c r="R45" s="1318"/>
      <c r="S45" s="1318"/>
      <c r="T45" s="1318"/>
    </row>
    <row r="46" spans="1:20" ht="39" thickBot="1">
      <c r="A46" s="391"/>
      <c r="B46" s="1362" t="s">
        <v>439</v>
      </c>
      <c r="C46" s="1347" t="s">
        <v>438</v>
      </c>
      <c r="D46" s="1348">
        <v>103839</v>
      </c>
      <c r="E46" s="1351">
        <v>98063.5</v>
      </c>
      <c r="F46" s="1351">
        <v>111676.5</v>
      </c>
      <c r="G46" s="1351">
        <v>88590</v>
      </c>
      <c r="H46" s="1350">
        <v>85965</v>
      </c>
      <c r="I46" s="1351">
        <v>84215</v>
      </c>
      <c r="J46" s="1349">
        <v>87000</v>
      </c>
      <c r="K46" s="1349">
        <v>85250</v>
      </c>
      <c r="L46" s="1349">
        <v>85250</v>
      </c>
      <c r="M46" s="1350">
        <v>85250</v>
      </c>
      <c r="N46" s="475"/>
      <c r="O46" s="1318"/>
      <c r="P46" s="1318"/>
      <c r="Q46" s="1318"/>
      <c r="R46" s="1318"/>
      <c r="S46" s="1318"/>
      <c r="T46" s="1318"/>
    </row>
    <row r="47" spans="1:20" ht="12.75">
      <c r="A47" s="1318"/>
      <c r="B47" s="1318"/>
      <c r="C47" s="1318"/>
      <c r="D47" s="1318"/>
      <c r="E47" s="1318"/>
      <c r="F47" s="1318"/>
      <c r="G47" s="1318"/>
      <c r="H47" s="1318"/>
      <c r="I47" s="1318"/>
      <c r="J47" s="1318"/>
      <c r="K47" s="1318"/>
      <c r="L47" s="1318"/>
      <c r="M47" s="1318"/>
      <c r="N47" s="1318"/>
      <c r="O47" s="1318"/>
      <c r="P47" s="1318"/>
      <c r="Q47" s="1318"/>
      <c r="R47" s="1318"/>
      <c r="S47" s="1318"/>
      <c r="T47" s="1318"/>
    </row>
    <row r="48" spans="1:20" ht="12.75">
      <c r="A48" s="391"/>
      <c r="B48" s="391"/>
      <c r="C48" s="482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1318"/>
      <c r="O48" s="1318"/>
      <c r="P48" s="1318"/>
      <c r="Q48" s="1318"/>
      <c r="R48" s="1318"/>
      <c r="S48" s="1318"/>
      <c r="T48" s="1318"/>
    </row>
    <row r="49" spans="1:20" ht="12.75">
      <c r="A49" s="391"/>
      <c r="B49" s="1317" t="s">
        <v>186</v>
      </c>
      <c r="C49" s="482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1318"/>
      <c r="O49" s="1318"/>
      <c r="P49" s="1318"/>
      <c r="Q49" s="1318"/>
      <c r="R49" s="1318"/>
      <c r="S49" s="1318"/>
      <c r="T49" s="1318"/>
    </row>
    <row r="50" spans="1:20" ht="13.5" thickBot="1">
      <c r="A50" s="391"/>
      <c r="B50" s="1317"/>
      <c r="C50" s="482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1318"/>
      <c r="O50" s="1318"/>
      <c r="P50" s="1318"/>
      <c r="Q50" s="1318"/>
      <c r="R50" s="1318"/>
      <c r="S50" s="1318"/>
      <c r="T50" s="1318"/>
    </row>
    <row r="51" spans="1:20" ht="12.75">
      <c r="A51" s="391"/>
      <c r="B51" s="1319"/>
      <c r="C51" s="513"/>
      <c r="D51" s="1320" t="s">
        <v>547</v>
      </c>
      <c r="E51" s="1321"/>
      <c r="F51" s="1321"/>
      <c r="G51" s="1321"/>
      <c r="H51" s="487"/>
      <c r="I51" s="1321" t="s">
        <v>548</v>
      </c>
      <c r="J51" s="488"/>
      <c r="K51" s="488"/>
      <c r="L51" s="488"/>
      <c r="M51" s="487"/>
      <c r="N51" s="1318"/>
      <c r="O51" s="1318"/>
      <c r="P51" s="1318"/>
      <c r="Q51" s="1318"/>
      <c r="R51" s="1318"/>
      <c r="S51" s="1318"/>
      <c r="T51" s="1318"/>
    </row>
    <row r="52" spans="1:20" ht="12.75">
      <c r="A52" s="391"/>
      <c r="B52" s="492"/>
      <c r="C52" s="1363" t="s">
        <v>741</v>
      </c>
      <c r="D52" s="1326" t="s">
        <v>742</v>
      </c>
      <c r="E52" s="1327" t="s">
        <v>743</v>
      </c>
      <c r="F52" s="1327" t="s">
        <v>739</v>
      </c>
      <c r="G52" s="1327" t="s">
        <v>609</v>
      </c>
      <c r="H52" s="1328" t="s">
        <v>610</v>
      </c>
      <c r="I52" s="1329" t="s">
        <v>549</v>
      </c>
      <c r="J52" s="1327" t="s">
        <v>706</v>
      </c>
      <c r="K52" s="1327" t="s">
        <v>707</v>
      </c>
      <c r="L52" s="1327" t="s">
        <v>708</v>
      </c>
      <c r="M52" s="1328" t="s">
        <v>709</v>
      </c>
      <c r="N52" s="1318"/>
      <c r="O52" s="1318"/>
      <c r="P52" s="1318"/>
      <c r="Q52" s="1318"/>
      <c r="R52" s="1318"/>
      <c r="S52" s="1318"/>
      <c r="T52" s="1318"/>
    </row>
    <row r="53" spans="1:20" ht="12.75">
      <c r="A53" s="391"/>
      <c r="B53" s="1364" t="s">
        <v>68</v>
      </c>
      <c r="C53" s="1365"/>
      <c r="D53" s="1366"/>
      <c r="E53" s="1367"/>
      <c r="F53" s="1367"/>
      <c r="G53" s="1367"/>
      <c r="H53" s="1368"/>
      <c r="I53" s="504"/>
      <c r="J53" s="504"/>
      <c r="K53" s="504"/>
      <c r="L53" s="504"/>
      <c r="M53" s="505"/>
      <c r="N53" s="1369"/>
      <c r="O53" s="1318"/>
      <c r="P53" s="1318"/>
      <c r="Q53" s="1318"/>
      <c r="R53" s="1318"/>
      <c r="S53" s="1318"/>
      <c r="T53" s="1318"/>
    </row>
    <row r="54" spans="1:20" ht="12.75">
      <c r="A54" s="391"/>
      <c r="B54" s="1353" t="s">
        <v>146</v>
      </c>
      <c r="C54" s="1370"/>
      <c r="D54" s="1371"/>
      <c r="E54" s="1372"/>
      <c r="F54" s="1372"/>
      <c r="G54" s="1372"/>
      <c r="H54" s="1373"/>
      <c r="I54" s="508"/>
      <c r="J54" s="508"/>
      <c r="K54" s="508"/>
      <c r="L54" s="508"/>
      <c r="M54" s="509"/>
      <c r="N54" s="1369"/>
      <c r="O54" s="1318"/>
      <c r="P54" s="1318"/>
      <c r="Q54" s="1318"/>
      <c r="R54" s="1318"/>
      <c r="S54" s="1318"/>
      <c r="T54" s="1318"/>
    </row>
    <row r="55" spans="1:20" ht="12.75">
      <c r="A55" s="391"/>
      <c r="B55" s="1374" t="s">
        <v>147</v>
      </c>
      <c r="C55" s="1370" t="s">
        <v>148</v>
      </c>
      <c r="D55" s="515">
        <v>1</v>
      </c>
      <c r="E55" s="1375">
        <v>1</v>
      </c>
      <c r="F55" s="1375">
        <v>2</v>
      </c>
      <c r="G55" s="1375">
        <v>5</v>
      </c>
      <c r="H55" s="516">
        <v>5</v>
      </c>
      <c r="I55" s="1375">
        <v>9</v>
      </c>
      <c r="J55" s="1376">
        <v>12</v>
      </c>
      <c r="K55" s="1376">
        <v>12</v>
      </c>
      <c r="L55" s="1376">
        <v>12</v>
      </c>
      <c r="M55" s="516">
        <v>12</v>
      </c>
      <c r="N55" s="1318"/>
      <c r="O55" s="1318"/>
      <c r="P55" s="1318"/>
      <c r="Q55" s="1318"/>
      <c r="R55" s="1318"/>
      <c r="S55" s="1318"/>
      <c r="T55" s="1318"/>
    </row>
    <row r="56" spans="1:20" ht="12.75">
      <c r="A56" s="391"/>
      <c r="B56" s="1374" t="s">
        <v>149</v>
      </c>
      <c r="C56" s="1370" t="s">
        <v>148</v>
      </c>
      <c r="D56" s="515">
        <v>17154</v>
      </c>
      <c r="E56" s="1375">
        <v>17587</v>
      </c>
      <c r="F56" s="1375">
        <v>19636</v>
      </c>
      <c r="G56" s="1375">
        <v>15850</v>
      </c>
      <c r="H56" s="516">
        <v>15050</v>
      </c>
      <c r="I56" s="1375">
        <v>14600</v>
      </c>
      <c r="J56" s="1376">
        <v>14800</v>
      </c>
      <c r="K56" s="1376">
        <v>14300</v>
      </c>
      <c r="L56" s="1376">
        <v>14300</v>
      </c>
      <c r="M56" s="516">
        <v>14300</v>
      </c>
      <c r="N56" s="1318"/>
      <c r="O56" s="1318"/>
      <c r="P56" s="1318"/>
      <c r="Q56" s="1318"/>
      <c r="R56" s="1318"/>
      <c r="S56" s="1318"/>
      <c r="T56" s="1318"/>
    </row>
    <row r="57" spans="1:20" ht="12.75">
      <c r="A57" s="391"/>
      <c r="B57" s="1374" t="s">
        <v>534</v>
      </c>
      <c r="C57" s="1370" t="s">
        <v>148</v>
      </c>
      <c r="D57" s="515" t="s">
        <v>230</v>
      </c>
      <c r="E57" s="1375">
        <v>556</v>
      </c>
      <c r="F57" s="1375">
        <v>604</v>
      </c>
      <c r="G57" s="1375">
        <v>550</v>
      </c>
      <c r="H57" s="516">
        <v>500</v>
      </c>
      <c r="I57" s="1375">
        <v>550</v>
      </c>
      <c r="J57" s="1376">
        <v>580</v>
      </c>
      <c r="K57" s="1376">
        <v>580</v>
      </c>
      <c r="L57" s="1376">
        <v>580</v>
      </c>
      <c r="M57" s="516">
        <v>580</v>
      </c>
      <c r="N57" s="1318"/>
      <c r="O57" s="1318"/>
      <c r="P57" s="1318"/>
      <c r="Q57" s="1318"/>
      <c r="R57" s="1318"/>
      <c r="S57" s="1318"/>
      <c r="T57" s="1318"/>
    </row>
    <row r="58" spans="1:20" ht="12.75">
      <c r="A58" s="391"/>
      <c r="B58" s="1353" t="s">
        <v>412</v>
      </c>
      <c r="C58" s="1370"/>
      <c r="D58" s="1377"/>
      <c r="E58" s="1378"/>
      <c r="F58" s="1378"/>
      <c r="G58" s="1378"/>
      <c r="H58" s="1379"/>
      <c r="I58" s="517"/>
      <c r="J58" s="517"/>
      <c r="K58" s="517"/>
      <c r="L58" s="517"/>
      <c r="M58" s="518"/>
      <c r="N58" s="1369"/>
      <c r="O58" s="1318"/>
      <c r="P58" s="1318"/>
      <c r="Q58" s="1318"/>
      <c r="R58" s="1318"/>
      <c r="S58" s="1318"/>
      <c r="T58" s="1318"/>
    </row>
    <row r="59" spans="1:20" ht="12.75">
      <c r="A59" s="391"/>
      <c r="B59" s="1374" t="s">
        <v>147</v>
      </c>
      <c r="C59" s="1370" t="s">
        <v>148</v>
      </c>
      <c r="D59" s="515">
        <v>0</v>
      </c>
      <c r="E59" s="1375">
        <v>1</v>
      </c>
      <c r="F59" s="1375">
        <v>3</v>
      </c>
      <c r="G59" s="1375">
        <v>1</v>
      </c>
      <c r="H59" s="516">
        <v>3</v>
      </c>
      <c r="I59" s="1375">
        <v>6</v>
      </c>
      <c r="J59" s="1376">
        <v>8</v>
      </c>
      <c r="K59" s="1376">
        <v>10</v>
      </c>
      <c r="L59" s="1376">
        <v>10</v>
      </c>
      <c r="M59" s="516">
        <v>10</v>
      </c>
      <c r="N59" s="1318"/>
      <c r="O59" s="1318"/>
      <c r="P59" s="1318"/>
      <c r="Q59" s="1318"/>
      <c r="R59" s="1318"/>
      <c r="S59" s="1318"/>
      <c r="T59" s="1318"/>
    </row>
    <row r="60" spans="1:20" ht="12.75">
      <c r="A60" s="391"/>
      <c r="B60" s="1374" t="s">
        <v>149</v>
      </c>
      <c r="C60" s="1370" t="s">
        <v>148</v>
      </c>
      <c r="D60" s="515">
        <v>20</v>
      </c>
      <c r="E60" s="1375">
        <v>21</v>
      </c>
      <c r="F60" s="1375">
        <v>22</v>
      </c>
      <c r="G60" s="1375">
        <v>20</v>
      </c>
      <c r="H60" s="516">
        <v>20</v>
      </c>
      <c r="I60" s="1375">
        <v>22</v>
      </c>
      <c r="J60" s="1376">
        <v>25</v>
      </c>
      <c r="K60" s="1376">
        <v>25</v>
      </c>
      <c r="L60" s="1376">
        <v>25</v>
      </c>
      <c r="M60" s="516">
        <v>25</v>
      </c>
      <c r="N60" s="1318"/>
      <c r="O60" s="1318"/>
      <c r="P60" s="1318"/>
      <c r="Q60" s="1318"/>
      <c r="R60" s="1318"/>
      <c r="S60" s="1318"/>
      <c r="T60" s="1318"/>
    </row>
    <row r="61" spans="1:20" ht="12.75">
      <c r="A61" s="391"/>
      <c r="B61" s="1374" t="s">
        <v>534</v>
      </c>
      <c r="C61" s="1370" t="s">
        <v>148</v>
      </c>
      <c r="D61" s="515" t="s">
        <v>230</v>
      </c>
      <c r="E61" s="1375">
        <v>4</v>
      </c>
      <c r="F61" s="1375">
        <v>6</v>
      </c>
      <c r="G61" s="1375">
        <v>4</v>
      </c>
      <c r="H61" s="516">
        <v>4</v>
      </c>
      <c r="I61" s="1375">
        <v>6</v>
      </c>
      <c r="J61" s="1376">
        <v>8</v>
      </c>
      <c r="K61" s="1376">
        <v>8</v>
      </c>
      <c r="L61" s="1376">
        <v>8</v>
      </c>
      <c r="M61" s="516">
        <v>8</v>
      </c>
      <c r="N61" s="1318"/>
      <c r="O61" s="1318"/>
      <c r="P61" s="1318"/>
      <c r="Q61" s="1318"/>
      <c r="R61" s="1318"/>
      <c r="S61" s="1318"/>
      <c r="T61" s="1318"/>
    </row>
    <row r="62" spans="1:20" ht="12.75">
      <c r="A62" s="391"/>
      <c r="B62" s="1353" t="s">
        <v>533</v>
      </c>
      <c r="C62" s="1370"/>
      <c r="D62" s="1377"/>
      <c r="E62" s="1378"/>
      <c r="F62" s="1378"/>
      <c r="G62" s="1378"/>
      <c r="H62" s="1379"/>
      <c r="I62" s="517"/>
      <c r="J62" s="517"/>
      <c r="K62" s="517"/>
      <c r="L62" s="517"/>
      <c r="M62" s="518"/>
      <c r="N62" s="1369"/>
      <c r="O62" s="1318"/>
      <c r="P62" s="1318"/>
      <c r="Q62" s="1318"/>
      <c r="R62" s="1318"/>
      <c r="S62" s="1318"/>
      <c r="T62" s="1318"/>
    </row>
    <row r="63" spans="1:20" ht="12.75">
      <c r="A63" s="391"/>
      <c r="B63" s="1374" t="s">
        <v>147</v>
      </c>
      <c r="C63" s="1370" t="s">
        <v>148</v>
      </c>
      <c r="D63" s="515">
        <v>0</v>
      </c>
      <c r="E63" s="1375">
        <v>0</v>
      </c>
      <c r="F63" s="1375">
        <v>0</v>
      </c>
      <c r="G63" s="1375">
        <v>0</v>
      </c>
      <c r="H63" s="516">
        <v>0</v>
      </c>
      <c r="I63" s="1375">
        <v>0</v>
      </c>
      <c r="J63" s="1376">
        <v>0</v>
      </c>
      <c r="K63" s="1376">
        <v>0</v>
      </c>
      <c r="L63" s="1376">
        <v>0</v>
      </c>
      <c r="M63" s="516">
        <v>0</v>
      </c>
      <c r="N63" s="1318"/>
      <c r="O63" s="1318"/>
      <c r="P63" s="1318"/>
      <c r="Q63" s="1318"/>
      <c r="R63" s="1318"/>
      <c r="S63" s="1318"/>
      <c r="T63" s="1318"/>
    </row>
    <row r="64" spans="1:20" ht="12.75">
      <c r="A64" s="391"/>
      <c r="B64" s="1374" t="s">
        <v>149</v>
      </c>
      <c r="C64" s="1370" t="s">
        <v>148</v>
      </c>
      <c r="D64" s="515">
        <v>0</v>
      </c>
      <c r="E64" s="1375">
        <v>0</v>
      </c>
      <c r="F64" s="1375">
        <v>0</v>
      </c>
      <c r="G64" s="1375">
        <v>0</v>
      </c>
      <c r="H64" s="516">
        <v>0</v>
      </c>
      <c r="I64" s="1375">
        <v>0</v>
      </c>
      <c r="J64" s="1376">
        <v>0</v>
      </c>
      <c r="K64" s="1376">
        <v>0</v>
      </c>
      <c r="L64" s="1376">
        <v>0</v>
      </c>
      <c r="M64" s="516">
        <v>0</v>
      </c>
      <c r="N64" s="1318"/>
      <c r="O64" s="1318"/>
      <c r="P64" s="1318"/>
      <c r="Q64" s="1318"/>
      <c r="R64" s="1318"/>
      <c r="S64" s="1318"/>
      <c r="T64" s="1318"/>
    </row>
    <row r="65" spans="1:20" ht="12.75">
      <c r="A65" s="391"/>
      <c r="B65" s="1374" t="s">
        <v>534</v>
      </c>
      <c r="C65" s="1370" t="s">
        <v>148</v>
      </c>
      <c r="D65" s="515" t="s">
        <v>230</v>
      </c>
      <c r="E65" s="1375">
        <v>0</v>
      </c>
      <c r="F65" s="1375">
        <v>0</v>
      </c>
      <c r="G65" s="1375">
        <v>0</v>
      </c>
      <c r="H65" s="516">
        <v>0</v>
      </c>
      <c r="I65" s="1375">
        <v>0</v>
      </c>
      <c r="J65" s="1376">
        <v>0</v>
      </c>
      <c r="K65" s="1376">
        <v>0</v>
      </c>
      <c r="L65" s="1376">
        <v>0</v>
      </c>
      <c r="M65" s="516">
        <v>0</v>
      </c>
      <c r="N65" s="1318"/>
      <c r="O65" s="1318"/>
      <c r="P65" s="1318"/>
      <c r="Q65" s="1318"/>
      <c r="R65" s="1318"/>
      <c r="S65" s="1318"/>
      <c r="T65" s="1318"/>
    </row>
    <row r="66" spans="1:20" ht="12.75">
      <c r="A66" s="391"/>
      <c r="B66" s="1353" t="s">
        <v>671</v>
      </c>
      <c r="C66" s="1370"/>
      <c r="D66" s="1377"/>
      <c r="E66" s="1378"/>
      <c r="F66" s="1378"/>
      <c r="G66" s="1378"/>
      <c r="H66" s="1379"/>
      <c r="I66" s="517"/>
      <c r="J66" s="517"/>
      <c r="K66" s="517"/>
      <c r="L66" s="517"/>
      <c r="M66" s="518"/>
      <c r="N66" s="1369"/>
      <c r="O66" s="1318"/>
      <c r="P66" s="1318"/>
      <c r="Q66" s="1318"/>
      <c r="R66" s="1318"/>
      <c r="S66" s="1318"/>
      <c r="T66" s="1318"/>
    </row>
    <row r="67" spans="1:20" ht="12.75">
      <c r="A67" s="391"/>
      <c r="B67" s="1374" t="s">
        <v>147</v>
      </c>
      <c r="C67" s="1370" t="s">
        <v>148</v>
      </c>
      <c r="D67" s="519">
        <v>0</v>
      </c>
      <c r="E67" s="1380">
        <v>0</v>
      </c>
      <c r="F67" s="1380">
        <v>0</v>
      </c>
      <c r="G67" s="1380">
        <v>0</v>
      </c>
      <c r="H67" s="520">
        <v>0</v>
      </c>
      <c r="I67" s="1380">
        <v>0</v>
      </c>
      <c r="J67" s="1381">
        <v>0</v>
      </c>
      <c r="K67" s="1381">
        <v>0</v>
      </c>
      <c r="L67" s="1381">
        <v>0</v>
      </c>
      <c r="M67" s="520">
        <v>0</v>
      </c>
      <c r="N67" s="1318"/>
      <c r="O67" s="1318"/>
      <c r="P67" s="1318"/>
      <c r="Q67" s="1318"/>
      <c r="R67" s="1318"/>
      <c r="S67" s="1318"/>
      <c r="T67" s="1318"/>
    </row>
    <row r="68" spans="1:20" ht="12.75">
      <c r="A68" s="391"/>
      <c r="B68" s="1374" t="s">
        <v>149</v>
      </c>
      <c r="C68" s="1370" t="s">
        <v>148</v>
      </c>
      <c r="D68" s="519">
        <v>0</v>
      </c>
      <c r="E68" s="1380">
        <v>0</v>
      </c>
      <c r="F68" s="1380">
        <v>0</v>
      </c>
      <c r="G68" s="1380">
        <v>0</v>
      </c>
      <c r="H68" s="520">
        <v>0</v>
      </c>
      <c r="I68" s="1380">
        <v>0</v>
      </c>
      <c r="J68" s="1381">
        <v>0</v>
      </c>
      <c r="K68" s="1381">
        <v>0</v>
      </c>
      <c r="L68" s="1381">
        <v>0</v>
      </c>
      <c r="M68" s="520">
        <v>0</v>
      </c>
      <c r="N68" s="1318"/>
      <c r="O68" s="1318"/>
      <c r="P68" s="1318"/>
      <c r="Q68" s="1318"/>
      <c r="R68" s="1318"/>
      <c r="S68" s="1318"/>
      <c r="T68" s="1318"/>
    </row>
    <row r="69" spans="1:20" ht="12.75">
      <c r="A69" s="391"/>
      <c r="B69" s="1374" t="s">
        <v>534</v>
      </c>
      <c r="C69" s="1370" t="s">
        <v>148</v>
      </c>
      <c r="D69" s="515" t="s">
        <v>230</v>
      </c>
      <c r="E69" s="1375">
        <v>0</v>
      </c>
      <c r="F69" s="1375">
        <v>0</v>
      </c>
      <c r="G69" s="1375">
        <v>0</v>
      </c>
      <c r="H69" s="516">
        <v>0</v>
      </c>
      <c r="I69" s="1375">
        <v>0</v>
      </c>
      <c r="J69" s="1376">
        <v>0</v>
      </c>
      <c r="K69" s="1376">
        <v>0</v>
      </c>
      <c r="L69" s="1376">
        <v>0</v>
      </c>
      <c r="M69" s="516">
        <v>0</v>
      </c>
      <c r="N69" s="1318"/>
      <c r="O69" s="1318"/>
      <c r="P69" s="1318"/>
      <c r="Q69" s="1318"/>
      <c r="R69" s="1318"/>
      <c r="S69" s="1318"/>
      <c r="T69" s="1318"/>
    </row>
    <row r="70" spans="1:20" ht="25.5">
      <c r="A70" s="391"/>
      <c r="B70" s="1382" t="s">
        <v>537</v>
      </c>
      <c r="C70" s="1370" t="s">
        <v>148</v>
      </c>
      <c r="D70" s="1383">
        <v>17175</v>
      </c>
      <c r="E70" s="1384">
        <v>17610</v>
      </c>
      <c r="F70" s="1384">
        <v>19663</v>
      </c>
      <c r="G70" s="1384">
        <v>15876</v>
      </c>
      <c r="H70" s="1385">
        <v>15078</v>
      </c>
      <c r="I70" s="1386">
        <v>14637</v>
      </c>
      <c r="J70" s="1384">
        <v>14845</v>
      </c>
      <c r="K70" s="1384">
        <v>14347</v>
      </c>
      <c r="L70" s="1384">
        <v>14347</v>
      </c>
      <c r="M70" s="1385">
        <v>14347</v>
      </c>
      <c r="N70" s="521"/>
      <c r="O70" s="1318"/>
      <c r="P70" s="1318"/>
      <c r="Q70" s="1318"/>
      <c r="R70" s="1318"/>
      <c r="S70" s="1318"/>
      <c r="T70" s="1318"/>
    </row>
    <row r="71" spans="1:20" ht="39" thickBot="1">
      <c r="A71" s="391"/>
      <c r="B71" s="1387" t="s">
        <v>413</v>
      </c>
      <c r="C71" s="1388" t="s">
        <v>148</v>
      </c>
      <c r="D71" s="1389">
        <v>0</v>
      </c>
      <c r="E71" s="1390">
        <v>560</v>
      </c>
      <c r="F71" s="1390">
        <v>610</v>
      </c>
      <c r="G71" s="1390">
        <v>554</v>
      </c>
      <c r="H71" s="1391">
        <v>504</v>
      </c>
      <c r="I71" s="1392">
        <v>556</v>
      </c>
      <c r="J71" s="1390">
        <v>588</v>
      </c>
      <c r="K71" s="1390">
        <v>588</v>
      </c>
      <c r="L71" s="1390">
        <v>588</v>
      </c>
      <c r="M71" s="1391">
        <v>588</v>
      </c>
      <c r="N71" s="521"/>
      <c r="O71" s="1318"/>
      <c r="P71" s="1318"/>
      <c r="Q71" s="1318"/>
      <c r="R71" s="1318"/>
      <c r="S71" s="1318"/>
      <c r="T71" s="1318"/>
    </row>
    <row r="72" spans="1:20" ht="12.75">
      <c r="A72" s="391"/>
      <c r="B72" s="1393"/>
      <c r="C72" s="1394"/>
      <c r="D72" s="1318"/>
      <c r="E72" s="1318"/>
      <c r="F72" s="1318"/>
      <c r="G72" s="1318"/>
      <c r="H72" s="1318"/>
      <c r="I72" s="1318"/>
      <c r="J72" s="1318"/>
      <c r="K72" s="1318"/>
      <c r="L72" s="1318"/>
      <c r="M72" s="1318"/>
      <c r="N72" s="1318"/>
      <c r="O72" s="1318"/>
      <c r="P72" s="1318"/>
      <c r="Q72" s="1318"/>
      <c r="R72" s="1318"/>
      <c r="S72" s="1318"/>
      <c r="T72" s="1318"/>
    </row>
    <row r="73" spans="1:20" ht="12.75">
      <c r="A73" s="391"/>
      <c r="B73" s="1395"/>
      <c r="C73" s="1396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1318"/>
      <c r="O73" s="522"/>
      <c r="P73" s="522"/>
      <c r="Q73" s="522"/>
      <c r="R73" s="1318"/>
      <c r="S73" s="522"/>
      <c r="T73" s="522"/>
    </row>
    <row r="74" spans="1:20" ht="12.75">
      <c r="A74" s="391"/>
      <c r="B74" s="1317" t="s">
        <v>414</v>
      </c>
      <c r="C74" s="1396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1318"/>
      <c r="O74" s="522"/>
      <c r="P74" s="522"/>
      <c r="Q74" s="522"/>
      <c r="R74" s="1318"/>
      <c r="S74" s="522"/>
      <c r="T74" s="522"/>
    </row>
    <row r="75" spans="1:20" ht="13.5" thickBot="1">
      <c r="A75" s="391"/>
      <c r="B75" s="1317"/>
      <c r="C75" s="1396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1318"/>
      <c r="O75" s="522"/>
      <c r="P75" s="522"/>
      <c r="Q75" s="522"/>
      <c r="R75" s="1318"/>
      <c r="S75" s="522"/>
      <c r="T75" s="522"/>
    </row>
    <row r="76" spans="1:20" ht="12.75">
      <c r="A76" s="391"/>
      <c r="B76" s="523"/>
      <c r="C76" s="513"/>
      <c r="D76" s="1320" t="s">
        <v>547</v>
      </c>
      <c r="E76" s="1321"/>
      <c r="F76" s="1321"/>
      <c r="G76" s="1321"/>
      <c r="H76" s="487"/>
      <c r="I76" s="1321" t="s">
        <v>548</v>
      </c>
      <c r="J76" s="488"/>
      <c r="K76" s="488"/>
      <c r="L76" s="488"/>
      <c r="M76" s="487"/>
      <c r="N76" s="1318"/>
      <c r="O76" s="1322" t="s">
        <v>547</v>
      </c>
      <c r="P76" s="1323"/>
      <c r="Q76" s="1324"/>
      <c r="R76" s="1318"/>
      <c r="S76" s="1322" t="s">
        <v>548</v>
      </c>
      <c r="T76" s="1324"/>
    </row>
    <row r="77" spans="1:20" ht="25.5">
      <c r="A77" s="391"/>
      <c r="B77" s="1397" t="s">
        <v>414</v>
      </c>
      <c r="C77" s="1363" t="s">
        <v>741</v>
      </c>
      <c r="D77" s="1326" t="s">
        <v>742</v>
      </c>
      <c r="E77" s="1327" t="s">
        <v>743</v>
      </c>
      <c r="F77" s="1327" t="s">
        <v>739</v>
      </c>
      <c r="G77" s="1327" t="s">
        <v>609</v>
      </c>
      <c r="H77" s="1328" t="s">
        <v>610</v>
      </c>
      <c r="I77" s="1329" t="s">
        <v>549</v>
      </c>
      <c r="J77" s="1327" t="s">
        <v>706</v>
      </c>
      <c r="K77" s="1327" t="s">
        <v>707</v>
      </c>
      <c r="L77" s="1327" t="s">
        <v>708</v>
      </c>
      <c r="M77" s="1328" t="s">
        <v>709</v>
      </c>
      <c r="N77" s="1318"/>
      <c r="O77" s="1330" t="s">
        <v>690</v>
      </c>
      <c r="P77" s="1331" t="s">
        <v>691</v>
      </c>
      <c r="Q77" s="1332" t="s">
        <v>757</v>
      </c>
      <c r="R77" s="1318"/>
      <c r="S77" s="1330" t="s">
        <v>691</v>
      </c>
      <c r="T77" s="1332" t="s">
        <v>692</v>
      </c>
    </row>
    <row r="78" spans="1:20" ht="12.75">
      <c r="A78" s="391"/>
      <c r="B78" s="1398" t="s">
        <v>419</v>
      </c>
      <c r="C78" s="1399"/>
      <c r="D78" s="1366"/>
      <c r="E78" s="1367"/>
      <c r="F78" s="1367"/>
      <c r="G78" s="1367"/>
      <c r="H78" s="1368"/>
      <c r="I78" s="504"/>
      <c r="J78" s="504"/>
      <c r="K78" s="504"/>
      <c r="L78" s="504"/>
      <c r="M78" s="505"/>
      <c r="N78" s="1318"/>
      <c r="O78" s="503"/>
      <c r="P78" s="504"/>
      <c r="Q78" s="505"/>
      <c r="R78" s="1318"/>
      <c r="S78" s="503"/>
      <c r="T78" s="505"/>
    </row>
    <row r="79" spans="1:20" ht="12.75">
      <c r="A79" s="391"/>
      <c r="B79" s="1400" t="s">
        <v>403</v>
      </c>
      <c r="C79" s="1401"/>
      <c r="D79" s="500"/>
      <c r="E79" s="1354"/>
      <c r="F79" s="1354"/>
      <c r="G79" s="1354"/>
      <c r="H79" s="501"/>
      <c r="I79" s="1354"/>
      <c r="J79" s="1354"/>
      <c r="K79" s="1354"/>
      <c r="L79" s="1354"/>
      <c r="M79" s="501"/>
      <c r="N79" s="1318"/>
      <c r="O79" s="526"/>
      <c r="P79" s="527"/>
      <c r="Q79" s="528"/>
      <c r="R79" s="1318"/>
      <c r="S79" s="500"/>
      <c r="T79" s="501"/>
    </row>
    <row r="80" spans="1:20" ht="12.75">
      <c r="A80" s="391"/>
      <c r="B80" s="529" t="s">
        <v>420</v>
      </c>
      <c r="C80" s="1370" t="s">
        <v>593</v>
      </c>
      <c r="D80" s="466">
        <v>20.7</v>
      </c>
      <c r="E80" s="467">
        <v>18.8</v>
      </c>
      <c r="F80" s="467">
        <v>19.1</v>
      </c>
      <c r="G80" s="467">
        <v>17</v>
      </c>
      <c r="H80" s="468">
        <v>16.2</v>
      </c>
      <c r="I80" s="467">
        <v>12.3</v>
      </c>
      <c r="J80" s="469">
        <v>12.5</v>
      </c>
      <c r="K80" s="469">
        <v>12</v>
      </c>
      <c r="L80" s="469">
        <v>12</v>
      </c>
      <c r="M80" s="468">
        <v>12</v>
      </c>
      <c r="N80" s="1318"/>
      <c r="O80" s="392">
        <v>58.6</v>
      </c>
      <c r="P80" s="393">
        <v>33.2</v>
      </c>
      <c r="Q80" s="394">
        <v>91.8</v>
      </c>
      <c r="R80" s="1318"/>
      <c r="S80" s="392">
        <v>77.8</v>
      </c>
      <c r="T80" s="1338">
        <v>-0.15250544662309368</v>
      </c>
    </row>
    <row r="81" spans="1:20" ht="12.75">
      <c r="A81" s="391"/>
      <c r="B81" s="529" t="s">
        <v>421</v>
      </c>
      <c r="C81" s="1370" t="s">
        <v>593</v>
      </c>
      <c r="D81" s="466">
        <v>1.2</v>
      </c>
      <c r="E81" s="467">
        <v>1.4</v>
      </c>
      <c r="F81" s="467">
        <v>0.8</v>
      </c>
      <c r="G81" s="467">
        <v>1.6</v>
      </c>
      <c r="H81" s="468">
        <v>1.5</v>
      </c>
      <c r="I81" s="467">
        <v>0.8</v>
      </c>
      <c r="J81" s="469">
        <v>0.8</v>
      </c>
      <c r="K81" s="469">
        <v>0.8</v>
      </c>
      <c r="L81" s="469">
        <v>0.8</v>
      </c>
      <c r="M81" s="468">
        <v>0.8</v>
      </c>
      <c r="N81" s="1318"/>
      <c r="O81" s="392">
        <v>3.3999999999999995</v>
      </c>
      <c r="P81" s="393">
        <v>3.1</v>
      </c>
      <c r="Q81" s="394">
        <v>6.5</v>
      </c>
      <c r="R81" s="1318"/>
      <c r="S81" s="392">
        <v>7.200000000000001</v>
      </c>
      <c r="T81" s="1338">
        <v>0.10769230769230785</v>
      </c>
    </row>
    <row r="82" spans="1:20" ht="12.75">
      <c r="A82" s="391"/>
      <c r="B82" s="1402" t="s">
        <v>553</v>
      </c>
      <c r="C82" s="1370" t="s">
        <v>593</v>
      </c>
      <c r="D82" s="392">
        <v>21.9</v>
      </c>
      <c r="E82" s="1403">
        <v>20.2</v>
      </c>
      <c r="F82" s="1403">
        <v>19.900000000000002</v>
      </c>
      <c r="G82" s="1403">
        <v>18.6</v>
      </c>
      <c r="H82" s="394">
        <v>17.7</v>
      </c>
      <c r="I82" s="1403">
        <f>SUM(I80:I81)</f>
        <v>13.100000000000001</v>
      </c>
      <c r="J82" s="1403">
        <f>SUM(J80:J81)</f>
        <v>13.3</v>
      </c>
      <c r="K82" s="1403">
        <f>SUM(K80:K81)</f>
        <v>12.8</v>
      </c>
      <c r="L82" s="1403">
        <f>SUM(L80:L81)</f>
        <v>12.8</v>
      </c>
      <c r="M82" s="1403">
        <f>SUM(M80:M81)</f>
        <v>12.8</v>
      </c>
      <c r="N82" s="1318"/>
      <c r="O82" s="392">
        <v>62</v>
      </c>
      <c r="P82" s="393">
        <v>36.3</v>
      </c>
      <c r="Q82" s="394">
        <v>98.3</v>
      </c>
      <c r="R82" s="1318"/>
      <c r="S82" s="392">
        <v>84.99999999999999</v>
      </c>
      <c r="T82" s="1338">
        <v>-0.1353001017293999</v>
      </c>
    </row>
    <row r="83" spans="1:20" ht="12.75">
      <c r="A83" s="391"/>
      <c r="B83" s="1400" t="s">
        <v>404</v>
      </c>
      <c r="C83" s="1404"/>
      <c r="D83" s="470"/>
      <c r="E83" s="1405"/>
      <c r="F83" s="1405"/>
      <c r="G83" s="1405"/>
      <c r="H83" s="471"/>
      <c r="I83" s="1405"/>
      <c r="J83" s="1405"/>
      <c r="K83" s="1405"/>
      <c r="L83" s="1405"/>
      <c r="M83" s="471"/>
      <c r="N83" s="1318"/>
      <c r="O83" s="472"/>
      <c r="P83" s="1405"/>
      <c r="Q83" s="471"/>
      <c r="R83" s="1318"/>
      <c r="S83" s="470"/>
      <c r="T83" s="471"/>
    </row>
    <row r="84" spans="1:20" ht="12.75">
      <c r="A84" s="391"/>
      <c r="B84" s="529" t="s">
        <v>420</v>
      </c>
      <c r="C84" s="1370" t="s">
        <v>593</v>
      </c>
      <c r="D84" s="466">
        <v>0.9</v>
      </c>
      <c r="E84" s="467">
        <v>1.6</v>
      </c>
      <c r="F84" s="467">
        <v>1.1</v>
      </c>
      <c r="G84" s="467">
        <v>3.2</v>
      </c>
      <c r="H84" s="468">
        <v>2.2</v>
      </c>
      <c r="I84" s="467">
        <v>4.1</v>
      </c>
      <c r="J84" s="469">
        <v>4.1</v>
      </c>
      <c r="K84" s="469">
        <v>4.1</v>
      </c>
      <c r="L84" s="469">
        <v>4.1</v>
      </c>
      <c r="M84" s="468">
        <v>4.1</v>
      </c>
      <c r="N84" s="1318"/>
      <c r="O84" s="392">
        <v>3.6</v>
      </c>
      <c r="P84" s="393">
        <v>5.4</v>
      </c>
      <c r="Q84" s="394">
        <v>9</v>
      </c>
      <c r="R84" s="1318"/>
      <c r="S84" s="392">
        <v>7.3</v>
      </c>
      <c r="T84" s="1338">
        <v>-0.1888888888888889</v>
      </c>
    </row>
    <row r="85" spans="1:20" ht="12.75">
      <c r="A85" s="391"/>
      <c r="B85" s="529" t="s">
        <v>421</v>
      </c>
      <c r="C85" s="1370" t="s">
        <v>593</v>
      </c>
      <c r="D85" s="466">
        <v>0</v>
      </c>
      <c r="E85" s="467">
        <v>0</v>
      </c>
      <c r="F85" s="467">
        <v>2.5</v>
      </c>
      <c r="G85" s="467">
        <v>2.6</v>
      </c>
      <c r="H85" s="468">
        <v>4.4</v>
      </c>
      <c r="I85" s="467">
        <v>2.3</v>
      </c>
      <c r="J85" s="469">
        <v>1.1</v>
      </c>
      <c r="K85" s="469">
        <v>1.1</v>
      </c>
      <c r="L85" s="469">
        <v>1.1</v>
      </c>
      <c r="M85" s="468">
        <v>1.1</v>
      </c>
      <c r="N85" s="1318"/>
      <c r="O85" s="392">
        <v>2.5</v>
      </c>
      <c r="P85" s="393">
        <v>7</v>
      </c>
      <c r="Q85" s="394">
        <v>9.5</v>
      </c>
      <c r="R85" s="1318"/>
      <c r="S85" s="392">
        <v>3.8999999999999995</v>
      </c>
      <c r="T85" s="1338">
        <v>-0.5894736842105264</v>
      </c>
    </row>
    <row r="86" spans="1:20" ht="12.75">
      <c r="A86" s="391"/>
      <c r="B86" s="1402" t="s">
        <v>554</v>
      </c>
      <c r="C86" s="1370" t="s">
        <v>593</v>
      </c>
      <c r="D86" s="392">
        <v>0.9</v>
      </c>
      <c r="E86" s="1403">
        <v>1.6</v>
      </c>
      <c r="F86" s="1403">
        <v>3.6</v>
      </c>
      <c r="G86" s="1403">
        <v>5.800000000000001</v>
      </c>
      <c r="H86" s="394">
        <v>6.6000000000000005</v>
      </c>
      <c r="I86" s="1403">
        <f>SUM(I84:I85)</f>
        <v>6.3999999999999995</v>
      </c>
      <c r="J86" s="1403">
        <f>SUM(J84:J85)</f>
        <v>5.199999999999999</v>
      </c>
      <c r="K86" s="1403">
        <f>SUM(K84:K85)</f>
        <v>5.199999999999999</v>
      </c>
      <c r="L86" s="1403">
        <f>SUM(L84:L85)</f>
        <v>5.199999999999999</v>
      </c>
      <c r="M86" s="1403">
        <f>SUM(M84:M85)</f>
        <v>5.199999999999999</v>
      </c>
      <c r="N86" s="1318"/>
      <c r="O86" s="392">
        <v>6.1</v>
      </c>
      <c r="P86" s="393">
        <v>12.400000000000002</v>
      </c>
      <c r="Q86" s="394">
        <v>18.5</v>
      </c>
      <c r="R86" s="1318"/>
      <c r="S86" s="392">
        <v>11.2</v>
      </c>
      <c r="T86" s="1338">
        <v>-0.3945945945945946</v>
      </c>
    </row>
    <row r="87" spans="1:20" ht="12.75">
      <c r="A87" s="391"/>
      <c r="B87" s="1400" t="s">
        <v>401</v>
      </c>
      <c r="C87" s="1404"/>
      <c r="D87" s="470"/>
      <c r="E87" s="1405"/>
      <c r="F87" s="1405"/>
      <c r="G87" s="1405"/>
      <c r="H87" s="471"/>
      <c r="I87" s="1405"/>
      <c r="J87" s="1405"/>
      <c r="K87" s="1405"/>
      <c r="L87" s="1405"/>
      <c r="M87" s="471"/>
      <c r="N87" s="1318"/>
      <c r="O87" s="470"/>
      <c r="P87" s="1405"/>
      <c r="Q87" s="471"/>
      <c r="R87" s="1318"/>
      <c r="S87" s="470"/>
      <c r="T87" s="471"/>
    </row>
    <row r="88" spans="1:20" ht="12.75">
      <c r="A88" s="391"/>
      <c r="B88" s="529" t="s">
        <v>420</v>
      </c>
      <c r="C88" s="1370" t="s">
        <v>593</v>
      </c>
      <c r="D88" s="466">
        <v>0</v>
      </c>
      <c r="E88" s="467">
        <v>0</v>
      </c>
      <c r="F88" s="467">
        <v>0</v>
      </c>
      <c r="G88" s="467">
        <v>0</v>
      </c>
      <c r="H88" s="468">
        <v>0</v>
      </c>
      <c r="I88" s="467">
        <v>0</v>
      </c>
      <c r="J88" s="469">
        <v>0</v>
      </c>
      <c r="K88" s="469">
        <v>0</v>
      </c>
      <c r="L88" s="469">
        <v>0</v>
      </c>
      <c r="M88" s="468">
        <v>0</v>
      </c>
      <c r="N88" s="1318"/>
      <c r="O88" s="392">
        <v>0</v>
      </c>
      <c r="P88" s="393">
        <v>0</v>
      </c>
      <c r="Q88" s="394">
        <v>0</v>
      </c>
      <c r="R88" s="1318"/>
      <c r="S88" s="392">
        <v>0</v>
      </c>
      <c r="T88" s="1338" t="s">
        <v>28</v>
      </c>
    </row>
    <row r="89" spans="1:20" ht="12.75">
      <c r="A89" s="391"/>
      <c r="B89" s="529" t="s">
        <v>421</v>
      </c>
      <c r="C89" s="1370" t="s">
        <v>593</v>
      </c>
      <c r="D89" s="466">
        <v>0</v>
      </c>
      <c r="E89" s="467">
        <v>0</v>
      </c>
      <c r="F89" s="467">
        <v>0</v>
      </c>
      <c r="G89" s="467">
        <v>0</v>
      </c>
      <c r="H89" s="468">
        <v>0</v>
      </c>
      <c r="I89" s="467">
        <v>0</v>
      </c>
      <c r="J89" s="469">
        <v>0</v>
      </c>
      <c r="K89" s="469">
        <v>0</v>
      </c>
      <c r="L89" s="469">
        <v>0</v>
      </c>
      <c r="M89" s="468">
        <v>0</v>
      </c>
      <c r="N89" s="1318"/>
      <c r="O89" s="392">
        <v>0</v>
      </c>
      <c r="P89" s="393">
        <v>0</v>
      </c>
      <c r="Q89" s="394">
        <v>0</v>
      </c>
      <c r="R89" s="1318"/>
      <c r="S89" s="392">
        <v>0</v>
      </c>
      <c r="T89" s="1338" t="s">
        <v>28</v>
      </c>
    </row>
    <row r="90" spans="1:20" ht="12.75">
      <c r="A90" s="391"/>
      <c r="B90" s="1402" t="s">
        <v>555</v>
      </c>
      <c r="C90" s="1370" t="s">
        <v>593</v>
      </c>
      <c r="D90" s="392">
        <v>0</v>
      </c>
      <c r="E90" s="1403">
        <v>0</v>
      </c>
      <c r="F90" s="1403">
        <v>0</v>
      </c>
      <c r="G90" s="1403">
        <v>0</v>
      </c>
      <c r="H90" s="394">
        <v>0</v>
      </c>
      <c r="I90" s="1403">
        <v>0</v>
      </c>
      <c r="J90" s="393">
        <v>0</v>
      </c>
      <c r="K90" s="393">
        <v>0</v>
      </c>
      <c r="L90" s="393">
        <v>0</v>
      </c>
      <c r="M90" s="394">
        <v>0</v>
      </c>
      <c r="N90" s="1318"/>
      <c r="O90" s="392">
        <v>0</v>
      </c>
      <c r="P90" s="393">
        <v>0</v>
      </c>
      <c r="Q90" s="394">
        <v>0</v>
      </c>
      <c r="R90" s="1318"/>
      <c r="S90" s="392">
        <v>0</v>
      </c>
      <c r="T90" s="1338" t="s">
        <v>28</v>
      </c>
    </row>
    <row r="91" spans="1:20" ht="12.75">
      <c r="A91" s="391"/>
      <c r="B91" s="1400" t="s">
        <v>530</v>
      </c>
      <c r="C91" s="1404"/>
      <c r="D91" s="470"/>
      <c r="E91" s="1405"/>
      <c r="F91" s="1405"/>
      <c r="G91" s="1405"/>
      <c r="H91" s="471"/>
      <c r="I91" s="1405"/>
      <c r="J91" s="1405"/>
      <c r="K91" s="1405"/>
      <c r="L91" s="1405"/>
      <c r="M91" s="471"/>
      <c r="N91" s="1318"/>
      <c r="O91" s="470"/>
      <c r="P91" s="1405"/>
      <c r="Q91" s="471"/>
      <c r="R91" s="1318"/>
      <c r="S91" s="470"/>
      <c r="T91" s="471"/>
    </row>
    <row r="92" spans="1:20" ht="12.75">
      <c r="A92" s="391"/>
      <c r="B92" s="529" t="s">
        <v>420</v>
      </c>
      <c r="C92" s="1370" t="s">
        <v>593</v>
      </c>
      <c r="D92" s="466">
        <v>0</v>
      </c>
      <c r="E92" s="467">
        <v>0</v>
      </c>
      <c r="F92" s="467">
        <v>0</v>
      </c>
      <c r="G92" s="467">
        <v>0</v>
      </c>
      <c r="H92" s="468">
        <v>0</v>
      </c>
      <c r="I92" s="467">
        <v>0</v>
      </c>
      <c r="J92" s="469">
        <v>0</v>
      </c>
      <c r="K92" s="469">
        <v>0</v>
      </c>
      <c r="L92" s="469">
        <v>0</v>
      </c>
      <c r="M92" s="468">
        <v>0</v>
      </c>
      <c r="N92" s="1318"/>
      <c r="O92" s="392">
        <v>0</v>
      </c>
      <c r="P92" s="393">
        <v>0</v>
      </c>
      <c r="Q92" s="394">
        <v>0</v>
      </c>
      <c r="R92" s="1318"/>
      <c r="S92" s="392">
        <v>0</v>
      </c>
      <c r="T92" s="1338" t="s">
        <v>28</v>
      </c>
    </row>
    <row r="93" spans="1:20" ht="12.75">
      <c r="A93" s="391"/>
      <c r="B93" s="529" t="s">
        <v>421</v>
      </c>
      <c r="C93" s="1370" t="s">
        <v>593</v>
      </c>
      <c r="D93" s="466">
        <v>0</v>
      </c>
      <c r="E93" s="467">
        <v>0</v>
      </c>
      <c r="F93" s="467">
        <v>0</v>
      </c>
      <c r="G93" s="467">
        <v>0</v>
      </c>
      <c r="H93" s="468">
        <v>0</v>
      </c>
      <c r="I93" s="467">
        <v>0</v>
      </c>
      <c r="J93" s="469">
        <v>0</v>
      </c>
      <c r="K93" s="469">
        <v>0</v>
      </c>
      <c r="L93" s="469">
        <v>0</v>
      </c>
      <c r="M93" s="468">
        <v>0</v>
      </c>
      <c r="N93" s="1318"/>
      <c r="O93" s="392">
        <v>0</v>
      </c>
      <c r="P93" s="393">
        <v>0</v>
      </c>
      <c r="Q93" s="394">
        <v>0</v>
      </c>
      <c r="R93" s="1318"/>
      <c r="S93" s="392">
        <v>0</v>
      </c>
      <c r="T93" s="1338" t="s">
        <v>28</v>
      </c>
    </row>
    <row r="94" spans="1:20" ht="12.75">
      <c r="A94" s="391"/>
      <c r="B94" s="1402" t="s">
        <v>429</v>
      </c>
      <c r="C94" s="1370" t="s">
        <v>593</v>
      </c>
      <c r="D94" s="392">
        <v>0</v>
      </c>
      <c r="E94" s="1403">
        <v>0</v>
      </c>
      <c r="F94" s="1403">
        <v>0</v>
      </c>
      <c r="G94" s="1403">
        <v>0</v>
      </c>
      <c r="H94" s="394">
        <v>0</v>
      </c>
      <c r="I94" s="1403">
        <v>0</v>
      </c>
      <c r="J94" s="393">
        <v>0</v>
      </c>
      <c r="K94" s="393">
        <v>0</v>
      </c>
      <c r="L94" s="393">
        <v>0</v>
      </c>
      <c r="M94" s="394">
        <v>0</v>
      </c>
      <c r="N94" s="1318"/>
      <c r="O94" s="392">
        <v>0</v>
      </c>
      <c r="P94" s="393">
        <v>0</v>
      </c>
      <c r="Q94" s="394">
        <v>0</v>
      </c>
      <c r="R94" s="1318"/>
      <c r="S94" s="392">
        <v>0</v>
      </c>
      <c r="T94" s="1338" t="s">
        <v>28</v>
      </c>
    </row>
    <row r="95" spans="1:20" ht="12.75">
      <c r="A95" s="391"/>
      <c r="B95" s="1406"/>
      <c r="C95" s="1370"/>
      <c r="D95" s="470"/>
      <c r="E95" s="1405"/>
      <c r="F95" s="1405"/>
      <c r="G95" s="1405"/>
      <c r="H95" s="471"/>
      <c r="I95" s="1405"/>
      <c r="J95" s="1405"/>
      <c r="K95" s="1405"/>
      <c r="L95" s="1405"/>
      <c r="M95" s="471"/>
      <c r="N95" s="1318"/>
      <c r="O95" s="470"/>
      <c r="P95" s="1405"/>
      <c r="Q95" s="471"/>
      <c r="R95" s="1318"/>
      <c r="S95" s="470"/>
      <c r="T95" s="471"/>
    </row>
    <row r="96" spans="1:20" ht="38.25">
      <c r="A96" s="391"/>
      <c r="B96" s="1406" t="s">
        <v>430</v>
      </c>
      <c r="C96" s="1370" t="s">
        <v>593</v>
      </c>
      <c r="D96" s="473"/>
      <c r="E96" s="474"/>
      <c r="F96" s="474"/>
      <c r="G96" s="467">
        <v>0</v>
      </c>
      <c r="H96" s="468">
        <v>0</v>
      </c>
      <c r="I96" s="467">
        <v>0</v>
      </c>
      <c r="J96" s="469">
        <v>0</v>
      </c>
      <c r="K96" s="469">
        <v>0</v>
      </c>
      <c r="L96" s="469">
        <v>0</v>
      </c>
      <c r="M96" s="468">
        <v>0</v>
      </c>
      <c r="N96" s="1318"/>
      <c r="O96" s="392">
        <v>0</v>
      </c>
      <c r="P96" s="393">
        <v>0</v>
      </c>
      <c r="Q96" s="394">
        <v>0</v>
      </c>
      <c r="R96" s="1318"/>
      <c r="S96" s="392">
        <v>0</v>
      </c>
      <c r="T96" s="1338" t="s">
        <v>28</v>
      </c>
    </row>
    <row r="97" spans="1:20" ht="51">
      <c r="A97" s="391"/>
      <c r="B97" s="1406" t="s">
        <v>433</v>
      </c>
      <c r="C97" s="1370" t="s">
        <v>593</v>
      </c>
      <c r="D97" s="1343">
        <v>22.799999999999997</v>
      </c>
      <c r="E97" s="1346">
        <v>21.8</v>
      </c>
      <c r="F97" s="1346">
        <v>23.500000000000004</v>
      </c>
      <c r="G97" s="1346">
        <v>24.400000000000002</v>
      </c>
      <c r="H97" s="1345">
        <v>24.3</v>
      </c>
      <c r="I97" s="1346">
        <v>19.2</v>
      </c>
      <c r="J97" s="1344">
        <v>19.7</v>
      </c>
      <c r="K97" s="1344">
        <v>19.1</v>
      </c>
      <c r="L97" s="1344">
        <v>19.1</v>
      </c>
      <c r="M97" s="1345">
        <v>19.1</v>
      </c>
      <c r="N97" s="475"/>
      <c r="O97" s="1343">
        <v>68.1</v>
      </c>
      <c r="P97" s="1344">
        <v>48.7</v>
      </c>
      <c r="Q97" s="1345">
        <v>116.8</v>
      </c>
      <c r="R97" s="475"/>
      <c r="S97" s="1343">
        <v>96.19999999999999</v>
      </c>
      <c r="T97" s="1407">
        <v>-0.1763698630136987</v>
      </c>
    </row>
    <row r="98" spans="1:20" ht="12.75">
      <c r="A98" s="391"/>
      <c r="B98" s="1406"/>
      <c r="C98" s="1370"/>
      <c r="D98" s="470"/>
      <c r="E98" s="1405"/>
      <c r="F98" s="1405"/>
      <c r="G98" s="1405"/>
      <c r="H98" s="471"/>
      <c r="I98" s="1405"/>
      <c r="J98" s="1405"/>
      <c r="K98" s="1405"/>
      <c r="L98" s="1405"/>
      <c r="M98" s="471"/>
      <c r="N98" s="1318"/>
      <c r="O98" s="470"/>
      <c r="P98" s="1405"/>
      <c r="Q98" s="471"/>
      <c r="R98" s="1318"/>
      <c r="S98" s="470"/>
      <c r="T98" s="471"/>
    </row>
    <row r="99" spans="1:20" ht="25.5">
      <c r="A99" s="391"/>
      <c r="B99" s="1406" t="s">
        <v>350</v>
      </c>
      <c r="C99" s="1333" t="s">
        <v>593</v>
      </c>
      <c r="D99" s="473"/>
      <c r="E99" s="474"/>
      <c r="F99" s="474"/>
      <c r="G99" s="467">
        <v>0</v>
      </c>
      <c r="H99" s="468">
        <v>0</v>
      </c>
      <c r="I99" s="467">
        <v>0</v>
      </c>
      <c r="J99" s="469">
        <v>0</v>
      </c>
      <c r="K99" s="469">
        <v>0</v>
      </c>
      <c r="L99" s="469">
        <v>0</v>
      </c>
      <c r="M99" s="468">
        <v>0</v>
      </c>
      <c r="N99" s="1318"/>
      <c r="O99" s="392">
        <v>0</v>
      </c>
      <c r="P99" s="393">
        <v>0</v>
      </c>
      <c r="Q99" s="394">
        <v>0</v>
      </c>
      <c r="R99" s="1318"/>
      <c r="S99" s="392">
        <v>0</v>
      </c>
      <c r="T99" s="1338" t="s">
        <v>28</v>
      </c>
    </row>
    <row r="100" spans="1:20" ht="26.25" thickBot="1">
      <c r="A100" s="391"/>
      <c r="B100" s="1408" t="s">
        <v>351</v>
      </c>
      <c r="C100" s="1388" t="s">
        <v>593</v>
      </c>
      <c r="D100" s="476"/>
      <c r="E100" s="477"/>
      <c r="F100" s="477"/>
      <c r="G100" s="478">
        <v>0</v>
      </c>
      <c r="H100" s="479">
        <v>0</v>
      </c>
      <c r="I100" s="478">
        <v>0</v>
      </c>
      <c r="J100" s="480">
        <v>0</v>
      </c>
      <c r="K100" s="480">
        <v>0</v>
      </c>
      <c r="L100" s="480">
        <v>0</v>
      </c>
      <c r="M100" s="479">
        <v>0</v>
      </c>
      <c r="N100" s="1318"/>
      <c r="O100" s="405">
        <v>0</v>
      </c>
      <c r="P100" s="406">
        <v>0</v>
      </c>
      <c r="Q100" s="407">
        <v>0</v>
      </c>
      <c r="R100" s="1318"/>
      <c r="S100" s="405">
        <v>0</v>
      </c>
      <c r="T100" s="1352" t="s">
        <v>28</v>
      </c>
    </row>
    <row r="101" spans="1:20" ht="12.75">
      <c r="A101" s="391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</row>
    <row r="102" spans="1:20" ht="12.75">
      <c r="A102" s="391"/>
      <c r="B102" s="391"/>
      <c r="C102" s="482"/>
      <c r="D102" s="498"/>
      <c r="E102" s="498"/>
      <c r="F102" s="498"/>
      <c r="G102" s="498"/>
      <c r="H102" s="498"/>
      <c r="I102" s="498"/>
      <c r="J102" s="498"/>
      <c r="K102" s="498"/>
      <c r="L102" s="498"/>
      <c r="M102" s="498"/>
      <c r="N102" s="1318"/>
      <c r="O102" s="498"/>
      <c r="P102" s="498"/>
      <c r="Q102" s="498"/>
      <c r="R102" s="1318"/>
      <c r="S102" s="498"/>
      <c r="T102" s="498"/>
    </row>
    <row r="103" spans="1:20" ht="12.75">
      <c r="A103" s="391"/>
      <c r="B103" s="1317" t="s">
        <v>573</v>
      </c>
      <c r="C103" s="1396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1318"/>
      <c r="O103" s="522"/>
      <c r="P103" s="522"/>
      <c r="Q103" s="522"/>
      <c r="R103" s="1318"/>
      <c r="S103" s="522"/>
      <c r="T103" s="522"/>
    </row>
    <row r="104" spans="1:20" ht="13.5" thickBot="1">
      <c r="A104" s="391"/>
      <c r="B104" s="1317"/>
      <c r="C104" s="1396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1318"/>
      <c r="O104" s="522"/>
      <c r="P104" s="522"/>
      <c r="Q104" s="522"/>
      <c r="R104" s="1318"/>
      <c r="S104" s="522"/>
      <c r="T104" s="522"/>
    </row>
    <row r="105" spans="1:20" ht="12.75">
      <c r="A105" s="391"/>
      <c r="B105" s="523"/>
      <c r="C105" s="513"/>
      <c r="D105" s="1320" t="s">
        <v>547</v>
      </c>
      <c r="E105" s="1321"/>
      <c r="F105" s="1321"/>
      <c r="G105" s="1321"/>
      <c r="H105" s="487"/>
      <c r="I105" s="1321" t="s">
        <v>548</v>
      </c>
      <c r="J105" s="488"/>
      <c r="K105" s="488"/>
      <c r="L105" s="488"/>
      <c r="M105" s="487"/>
      <c r="N105" s="1318"/>
      <c r="O105" s="1322" t="s">
        <v>547</v>
      </c>
      <c r="P105" s="1323"/>
      <c r="Q105" s="1324"/>
      <c r="R105" s="1318"/>
      <c r="S105" s="1322" t="s">
        <v>548</v>
      </c>
      <c r="T105" s="1324"/>
    </row>
    <row r="106" spans="1:20" ht="25.5">
      <c r="A106" s="391"/>
      <c r="B106" s="1397" t="s">
        <v>573</v>
      </c>
      <c r="C106" s="1363" t="s">
        <v>741</v>
      </c>
      <c r="D106" s="1326" t="s">
        <v>742</v>
      </c>
      <c r="E106" s="1327" t="s">
        <v>743</v>
      </c>
      <c r="F106" s="1327" t="s">
        <v>739</v>
      </c>
      <c r="G106" s="1327" t="s">
        <v>609</v>
      </c>
      <c r="H106" s="1328" t="s">
        <v>610</v>
      </c>
      <c r="I106" s="1329" t="s">
        <v>549</v>
      </c>
      <c r="J106" s="1327" t="s">
        <v>706</v>
      </c>
      <c r="K106" s="1327" t="s">
        <v>707</v>
      </c>
      <c r="L106" s="1327" t="s">
        <v>708</v>
      </c>
      <c r="M106" s="1328" t="s">
        <v>709</v>
      </c>
      <c r="N106" s="1318"/>
      <c r="O106" s="1330" t="s">
        <v>690</v>
      </c>
      <c r="P106" s="1331" t="s">
        <v>691</v>
      </c>
      <c r="Q106" s="1332" t="s">
        <v>757</v>
      </c>
      <c r="R106" s="1318"/>
      <c r="S106" s="1330" t="s">
        <v>691</v>
      </c>
      <c r="T106" s="1332" t="s">
        <v>692</v>
      </c>
    </row>
    <row r="107" spans="1:20" ht="12.75">
      <c r="A107" s="391"/>
      <c r="B107" s="1400" t="s">
        <v>574</v>
      </c>
      <c r="C107" s="1401"/>
      <c r="D107" s="500"/>
      <c r="E107" s="1354"/>
      <c r="F107" s="1354"/>
      <c r="G107" s="1354"/>
      <c r="H107" s="501"/>
      <c r="I107" s="1354"/>
      <c r="J107" s="1354"/>
      <c r="K107" s="1354"/>
      <c r="L107" s="1354"/>
      <c r="M107" s="501"/>
      <c r="N107" s="1318"/>
      <c r="O107" s="526"/>
      <c r="P107" s="527"/>
      <c r="Q107" s="528"/>
      <c r="R107" s="1318"/>
      <c r="S107" s="500"/>
      <c r="T107" s="501"/>
    </row>
    <row r="108" spans="1:20" ht="12.75">
      <c r="A108" s="391"/>
      <c r="B108" s="529" t="s">
        <v>420</v>
      </c>
      <c r="C108" s="1370" t="s">
        <v>593</v>
      </c>
      <c r="D108" s="466">
        <v>19</v>
      </c>
      <c r="E108" s="467">
        <v>18.8</v>
      </c>
      <c r="F108" s="467">
        <v>19.1</v>
      </c>
      <c r="G108" s="467">
        <v>17</v>
      </c>
      <c r="H108" s="468">
        <v>16.2</v>
      </c>
      <c r="I108" s="467">
        <v>12.3</v>
      </c>
      <c r="J108" s="469">
        <v>12.5</v>
      </c>
      <c r="K108" s="469">
        <v>12</v>
      </c>
      <c r="L108" s="469">
        <v>12</v>
      </c>
      <c r="M108" s="468">
        <v>12</v>
      </c>
      <c r="N108" s="1318"/>
      <c r="O108" s="392">
        <v>56.9</v>
      </c>
      <c r="P108" s="393">
        <v>33.2</v>
      </c>
      <c r="Q108" s="394">
        <v>90.10000000000001</v>
      </c>
      <c r="R108" s="1318"/>
      <c r="S108" s="392">
        <v>77.8</v>
      </c>
      <c r="T108" s="1338">
        <v>-0.1365149833518314</v>
      </c>
    </row>
    <row r="109" spans="1:20" ht="12.75">
      <c r="A109" s="391"/>
      <c r="B109" s="529" t="s">
        <v>575</v>
      </c>
      <c r="C109" s="1370" t="s">
        <v>593</v>
      </c>
      <c r="D109" s="466">
        <v>0.2</v>
      </c>
      <c r="E109" s="467">
        <v>0.6</v>
      </c>
      <c r="F109" s="467">
        <v>0.3</v>
      </c>
      <c r="G109" s="467">
        <v>0.6</v>
      </c>
      <c r="H109" s="468">
        <v>0.6</v>
      </c>
      <c r="I109" s="467">
        <v>0.8</v>
      </c>
      <c r="J109" s="469">
        <v>0.8</v>
      </c>
      <c r="K109" s="469">
        <v>0.8</v>
      </c>
      <c r="L109" s="469">
        <v>0.8</v>
      </c>
      <c r="M109" s="468">
        <v>0.8</v>
      </c>
      <c r="N109" s="1318"/>
      <c r="O109" s="392">
        <v>1.1</v>
      </c>
      <c r="P109" s="393">
        <v>1.2</v>
      </c>
      <c r="Q109" s="394">
        <v>2.3000000000000003</v>
      </c>
      <c r="R109" s="1318"/>
      <c r="S109" s="392">
        <v>3</v>
      </c>
      <c r="T109" s="1338">
        <v>0.3043478260869564</v>
      </c>
    </row>
    <row r="110" spans="1:20" ht="12.75">
      <c r="A110" s="391"/>
      <c r="B110" s="1402" t="s">
        <v>553</v>
      </c>
      <c r="C110" s="1370" t="s">
        <v>593</v>
      </c>
      <c r="D110" s="392">
        <v>19.2</v>
      </c>
      <c r="E110" s="1403">
        <v>19.400000000000002</v>
      </c>
      <c r="F110" s="1403">
        <v>19.400000000000002</v>
      </c>
      <c r="G110" s="1403">
        <v>17.6</v>
      </c>
      <c r="H110" s="394">
        <v>16.8</v>
      </c>
      <c r="I110" s="1403">
        <v>13.1</v>
      </c>
      <c r="J110" s="393">
        <v>13.3</v>
      </c>
      <c r="K110" s="393">
        <v>12.8</v>
      </c>
      <c r="L110" s="393">
        <v>12.8</v>
      </c>
      <c r="M110" s="394">
        <v>12.8</v>
      </c>
      <c r="N110" s="1318"/>
      <c r="O110" s="392">
        <v>58</v>
      </c>
      <c r="P110" s="393">
        <v>34.400000000000006</v>
      </c>
      <c r="Q110" s="394">
        <v>92.39999999999999</v>
      </c>
      <c r="R110" s="1318"/>
      <c r="S110" s="392">
        <v>80.8</v>
      </c>
      <c r="T110" s="1338">
        <v>-0.12554112554112548</v>
      </c>
    </row>
    <row r="111" spans="1:20" ht="12.75">
      <c r="A111" s="391"/>
      <c r="B111" s="1400" t="s">
        <v>431</v>
      </c>
      <c r="C111" s="1404"/>
      <c r="D111" s="470"/>
      <c r="E111" s="1405"/>
      <c r="F111" s="1405"/>
      <c r="G111" s="1405"/>
      <c r="H111" s="471"/>
      <c r="I111" s="1405"/>
      <c r="J111" s="1405"/>
      <c r="K111" s="1405"/>
      <c r="L111" s="1405"/>
      <c r="M111" s="471"/>
      <c r="N111" s="1318"/>
      <c r="O111" s="472"/>
      <c r="P111" s="1405"/>
      <c r="Q111" s="471"/>
      <c r="R111" s="1318"/>
      <c r="S111" s="470"/>
      <c r="T111" s="471"/>
    </row>
    <row r="112" spans="1:20" ht="12.75">
      <c r="A112" s="391"/>
      <c r="B112" s="529" t="s">
        <v>420</v>
      </c>
      <c r="C112" s="1370" t="s">
        <v>593</v>
      </c>
      <c r="D112" s="466">
        <v>0.9</v>
      </c>
      <c r="E112" s="467">
        <v>1.6</v>
      </c>
      <c r="F112" s="467">
        <v>1.1</v>
      </c>
      <c r="G112" s="467">
        <v>3.2</v>
      </c>
      <c r="H112" s="468">
        <v>2.2</v>
      </c>
      <c r="I112" s="467">
        <v>4.1</v>
      </c>
      <c r="J112" s="469">
        <v>4.1</v>
      </c>
      <c r="K112" s="469">
        <v>4.1</v>
      </c>
      <c r="L112" s="469">
        <v>4.1</v>
      </c>
      <c r="M112" s="468">
        <v>4.1</v>
      </c>
      <c r="N112" s="1318"/>
      <c r="O112" s="392">
        <v>3.6</v>
      </c>
      <c r="P112" s="393">
        <v>5.4</v>
      </c>
      <c r="Q112" s="394">
        <v>9</v>
      </c>
      <c r="R112" s="1318"/>
      <c r="S112" s="392">
        <v>7.3</v>
      </c>
      <c r="T112" s="1338">
        <v>-0.1888888888888889</v>
      </c>
    </row>
    <row r="113" spans="1:20" ht="12.75">
      <c r="A113" s="391"/>
      <c r="B113" s="529" t="s">
        <v>575</v>
      </c>
      <c r="C113" s="1370" t="s">
        <v>593</v>
      </c>
      <c r="D113" s="466">
        <v>0</v>
      </c>
      <c r="E113" s="467">
        <v>0</v>
      </c>
      <c r="F113" s="467">
        <v>0.5</v>
      </c>
      <c r="G113" s="467">
        <v>1</v>
      </c>
      <c r="H113" s="468">
        <v>1.4</v>
      </c>
      <c r="I113" s="467">
        <v>2.3</v>
      </c>
      <c r="J113" s="469">
        <v>1.1</v>
      </c>
      <c r="K113" s="469">
        <v>1.1</v>
      </c>
      <c r="L113" s="469">
        <v>1.1</v>
      </c>
      <c r="M113" s="468">
        <v>1.1</v>
      </c>
      <c r="N113" s="1318"/>
      <c r="O113" s="392">
        <v>0.5</v>
      </c>
      <c r="P113" s="393">
        <v>2.4</v>
      </c>
      <c r="Q113" s="394">
        <v>2.9</v>
      </c>
      <c r="R113" s="1318"/>
      <c r="S113" s="392">
        <v>1.9</v>
      </c>
      <c r="T113" s="1338">
        <v>-0.3448275862068966</v>
      </c>
    </row>
    <row r="114" spans="1:20" ht="12.75">
      <c r="A114" s="391"/>
      <c r="B114" s="1402" t="s">
        <v>554</v>
      </c>
      <c r="C114" s="1370" t="s">
        <v>593</v>
      </c>
      <c r="D114" s="392">
        <v>0.9</v>
      </c>
      <c r="E114" s="1403">
        <v>1.6</v>
      </c>
      <c r="F114" s="1403">
        <v>1.6</v>
      </c>
      <c r="G114" s="1403">
        <v>4.2</v>
      </c>
      <c r="H114" s="394">
        <v>3.6</v>
      </c>
      <c r="I114" s="1403">
        <v>6.4</v>
      </c>
      <c r="J114" s="393">
        <v>5.2</v>
      </c>
      <c r="K114" s="393">
        <v>5.2</v>
      </c>
      <c r="L114" s="393">
        <v>5.2</v>
      </c>
      <c r="M114" s="394">
        <v>5.2</v>
      </c>
      <c r="N114" s="1318"/>
      <c r="O114" s="392">
        <v>4.1</v>
      </c>
      <c r="P114" s="393">
        <v>7.800000000000001</v>
      </c>
      <c r="Q114" s="394">
        <v>11.9</v>
      </c>
      <c r="R114" s="1318"/>
      <c r="S114" s="392">
        <v>9.200000000000001</v>
      </c>
      <c r="T114" s="1338">
        <v>-0.22689075630252095</v>
      </c>
    </row>
    <row r="115" spans="1:20" ht="12.75">
      <c r="A115" s="391"/>
      <c r="B115" s="1400" t="s">
        <v>447</v>
      </c>
      <c r="C115" s="1404"/>
      <c r="D115" s="470"/>
      <c r="E115" s="1405"/>
      <c r="F115" s="1405"/>
      <c r="G115" s="1405"/>
      <c r="H115" s="471"/>
      <c r="I115" s="1405"/>
      <c r="J115" s="1405"/>
      <c r="K115" s="1405"/>
      <c r="L115" s="1405"/>
      <c r="M115" s="471"/>
      <c r="N115" s="1318"/>
      <c r="O115" s="470"/>
      <c r="P115" s="1405"/>
      <c r="Q115" s="471"/>
      <c r="R115" s="1318"/>
      <c r="S115" s="470"/>
      <c r="T115" s="471"/>
    </row>
    <row r="116" spans="1:20" ht="12.75">
      <c r="A116" s="391"/>
      <c r="B116" s="529" t="s">
        <v>420</v>
      </c>
      <c r="C116" s="1370" t="s">
        <v>593</v>
      </c>
      <c r="D116" s="466">
        <v>0</v>
      </c>
      <c r="E116" s="467">
        <v>0</v>
      </c>
      <c r="F116" s="467">
        <v>0</v>
      </c>
      <c r="G116" s="467">
        <v>0</v>
      </c>
      <c r="H116" s="468">
        <v>0</v>
      </c>
      <c r="I116" s="467">
        <v>0</v>
      </c>
      <c r="J116" s="469">
        <v>0</v>
      </c>
      <c r="K116" s="469">
        <v>0</v>
      </c>
      <c r="L116" s="469">
        <v>0</v>
      </c>
      <c r="M116" s="468">
        <v>0</v>
      </c>
      <c r="N116" s="1318"/>
      <c r="O116" s="392">
        <v>0</v>
      </c>
      <c r="P116" s="393">
        <v>0</v>
      </c>
      <c r="Q116" s="394">
        <v>0</v>
      </c>
      <c r="R116" s="1318"/>
      <c r="S116" s="392">
        <v>0</v>
      </c>
      <c r="T116" s="1338" t="s">
        <v>28</v>
      </c>
    </row>
    <row r="117" spans="1:20" ht="12.75">
      <c r="A117" s="391"/>
      <c r="B117" s="529" t="s">
        <v>575</v>
      </c>
      <c r="C117" s="1370" t="s">
        <v>593</v>
      </c>
      <c r="D117" s="466">
        <v>0</v>
      </c>
      <c r="E117" s="467">
        <v>0</v>
      </c>
      <c r="F117" s="467">
        <v>0</v>
      </c>
      <c r="G117" s="467">
        <v>0</v>
      </c>
      <c r="H117" s="468">
        <v>0</v>
      </c>
      <c r="I117" s="467">
        <v>0</v>
      </c>
      <c r="J117" s="469">
        <v>0</v>
      </c>
      <c r="K117" s="469">
        <v>0</v>
      </c>
      <c r="L117" s="469">
        <v>0</v>
      </c>
      <c r="M117" s="468">
        <v>0</v>
      </c>
      <c r="N117" s="1318"/>
      <c r="O117" s="392">
        <v>0</v>
      </c>
      <c r="P117" s="393">
        <v>0</v>
      </c>
      <c r="Q117" s="394">
        <v>0</v>
      </c>
      <c r="R117" s="1318"/>
      <c r="S117" s="392">
        <v>0</v>
      </c>
      <c r="T117" s="1338" t="s">
        <v>28</v>
      </c>
    </row>
    <row r="118" spans="1:20" ht="12.75">
      <c r="A118" s="391"/>
      <c r="B118" s="1402" t="s">
        <v>555</v>
      </c>
      <c r="C118" s="1370" t="s">
        <v>593</v>
      </c>
      <c r="D118" s="392">
        <v>0</v>
      </c>
      <c r="E118" s="1403">
        <v>0</v>
      </c>
      <c r="F118" s="1403">
        <v>0</v>
      </c>
      <c r="G118" s="1403">
        <v>0</v>
      </c>
      <c r="H118" s="394">
        <v>0</v>
      </c>
      <c r="I118" s="1403">
        <v>0</v>
      </c>
      <c r="J118" s="393">
        <v>0</v>
      </c>
      <c r="K118" s="393">
        <v>0</v>
      </c>
      <c r="L118" s="393">
        <v>0</v>
      </c>
      <c r="M118" s="394">
        <v>0</v>
      </c>
      <c r="N118" s="1318"/>
      <c r="O118" s="392">
        <v>0</v>
      </c>
      <c r="P118" s="393">
        <v>0</v>
      </c>
      <c r="Q118" s="394">
        <v>0</v>
      </c>
      <c r="R118" s="1318"/>
      <c r="S118" s="392">
        <v>0</v>
      </c>
      <c r="T118" s="1338" t="s">
        <v>28</v>
      </c>
    </row>
    <row r="119" spans="1:20" ht="12.75">
      <c r="A119" s="391"/>
      <c r="B119" s="1400" t="s">
        <v>192</v>
      </c>
      <c r="C119" s="1404"/>
      <c r="D119" s="470"/>
      <c r="E119" s="1405"/>
      <c r="F119" s="1405"/>
      <c r="G119" s="1405"/>
      <c r="H119" s="471"/>
      <c r="I119" s="1405"/>
      <c r="J119" s="1405"/>
      <c r="K119" s="1405"/>
      <c r="L119" s="1405"/>
      <c r="M119" s="471"/>
      <c r="N119" s="1318"/>
      <c r="O119" s="470"/>
      <c r="P119" s="1405"/>
      <c r="Q119" s="471"/>
      <c r="R119" s="1318"/>
      <c r="S119" s="470"/>
      <c r="T119" s="471"/>
    </row>
    <row r="120" spans="1:20" ht="12.75">
      <c r="A120" s="391"/>
      <c r="B120" s="529" t="s">
        <v>420</v>
      </c>
      <c r="C120" s="1370" t="s">
        <v>593</v>
      </c>
      <c r="D120" s="466">
        <v>0</v>
      </c>
      <c r="E120" s="467">
        <v>0</v>
      </c>
      <c r="F120" s="467">
        <v>0</v>
      </c>
      <c r="G120" s="467">
        <v>0</v>
      </c>
      <c r="H120" s="468">
        <v>0</v>
      </c>
      <c r="I120" s="467">
        <v>0</v>
      </c>
      <c r="J120" s="469">
        <v>0</v>
      </c>
      <c r="K120" s="469">
        <v>0</v>
      </c>
      <c r="L120" s="469">
        <v>0</v>
      </c>
      <c r="M120" s="468">
        <v>0</v>
      </c>
      <c r="N120" s="1318"/>
      <c r="O120" s="392">
        <v>0</v>
      </c>
      <c r="P120" s="393">
        <v>0</v>
      </c>
      <c r="Q120" s="394">
        <v>0</v>
      </c>
      <c r="R120" s="1318"/>
      <c r="S120" s="392">
        <v>0</v>
      </c>
      <c r="T120" s="1338" t="s">
        <v>28</v>
      </c>
    </row>
    <row r="121" spans="1:20" ht="12.75">
      <c r="A121" s="391"/>
      <c r="B121" s="529" t="s">
        <v>575</v>
      </c>
      <c r="C121" s="1370" t="s">
        <v>593</v>
      </c>
      <c r="D121" s="466">
        <v>0</v>
      </c>
      <c r="E121" s="467">
        <v>0</v>
      </c>
      <c r="F121" s="467">
        <v>0</v>
      </c>
      <c r="G121" s="467">
        <v>0</v>
      </c>
      <c r="H121" s="468">
        <v>0</v>
      </c>
      <c r="I121" s="467">
        <v>0</v>
      </c>
      <c r="J121" s="469">
        <v>0</v>
      </c>
      <c r="K121" s="469">
        <v>0</v>
      </c>
      <c r="L121" s="469">
        <v>0</v>
      </c>
      <c r="M121" s="468">
        <v>0</v>
      </c>
      <c r="N121" s="1318"/>
      <c r="O121" s="392">
        <v>0</v>
      </c>
      <c r="P121" s="393">
        <v>0</v>
      </c>
      <c r="Q121" s="394">
        <v>0</v>
      </c>
      <c r="R121" s="1318"/>
      <c r="S121" s="392">
        <v>0</v>
      </c>
      <c r="T121" s="1338" t="s">
        <v>28</v>
      </c>
    </row>
    <row r="122" spans="1:20" ht="12.75">
      <c r="A122" s="391"/>
      <c r="B122" s="1402" t="s">
        <v>429</v>
      </c>
      <c r="C122" s="1370" t="s">
        <v>593</v>
      </c>
      <c r="D122" s="392">
        <v>0</v>
      </c>
      <c r="E122" s="1403">
        <v>0</v>
      </c>
      <c r="F122" s="1403">
        <v>0</v>
      </c>
      <c r="G122" s="1403">
        <v>0</v>
      </c>
      <c r="H122" s="394">
        <v>0</v>
      </c>
      <c r="I122" s="1403">
        <v>0</v>
      </c>
      <c r="J122" s="393">
        <v>0</v>
      </c>
      <c r="K122" s="393">
        <v>0</v>
      </c>
      <c r="L122" s="393">
        <v>0</v>
      </c>
      <c r="M122" s="394">
        <v>0</v>
      </c>
      <c r="N122" s="1318"/>
      <c r="O122" s="392">
        <v>0</v>
      </c>
      <c r="P122" s="393">
        <v>0</v>
      </c>
      <c r="Q122" s="394">
        <v>0</v>
      </c>
      <c r="R122" s="1318"/>
      <c r="S122" s="392">
        <v>0</v>
      </c>
      <c r="T122" s="1338" t="s">
        <v>28</v>
      </c>
    </row>
    <row r="123" spans="1:20" ht="12.75">
      <c r="A123" s="391"/>
      <c r="B123" s="1406"/>
      <c r="C123" s="1370"/>
      <c r="D123" s="470"/>
      <c r="E123" s="1405"/>
      <c r="F123" s="1405"/>
      <c r="G123" s="1405"/>
      <c r="H123" s="471"/>
      <c r="I123" s="1405"/>
      <c r="J123" s="1405"/>
      <c r="K123" s="1405"/>
      <c r="L123" s="1405"/>
      <c r="M123" s="471"/>
      <c r="N123" s="1318"/>
      <c r="O123" s="470"/>
      <c r="P123" s="1405"/>
      <c r="Q123" s="471"/>
      <c r="R123" s="1318"/>
      <c r="S123" s="470"/>
      <c r="T123" s="471"/>
    </row>
    <row r="124" spans="1:20" ht="12.75">
      <c r="A124" s="391"/>
      <c r="B124" s="1400" t="s">
        <v>196</v>
      </c>
      <c r="C124" s="1333" t="s">
        <v>593</v>
      </c>
      <c r="D124" s="1346">
        <v>20.099999999999998</v>
      </c>
      <c r="E124" s="1346">
        <v>21.000000000000004</v>
      </c>
      <c r="F124" s="1346">
        <v>21.000000000000004</v>
      </c>
      <c r="G124" s="1346">
        <v>21.8</v>
      </c>
      <c r="H124" s="1345">
        <v>20.400000000000002</v>
      </c>
      <c r="I124" s="1346">
        <v>19.5</v>
      </c>
      <c r="J124" s="1344">
        <v>18.5</v>
      </c>
      <c r="K124" s="1344">
        <v>18</v>
      </c>
      <c r="L124" s="1344">
        <v>18</v>
      </c>
      <c r="M124" s="1345">
        <v>18</v>
      </c>
      <c r="N124" s="475"/>
      <c r="O124" s="1343">
        <v>62.10000000000001</v>
      </c>
      <c r="P124" s="1344">
        <v>42.2</v>
      </c>
      <c r="Q124" s="1345">
        <v>104.30000000000001</v>
      </c>
      <c r="R124" s="475"/>
      <c r="S124" s="1343">
        <v>90</v>
      </c>
      <c r="T124" s="1407">
        <v>-0.1371045062320231</v>
      </c>
    </row>
    <row r="125" spans="1:20" ht="12.75">
      <c r="A125" s="391"/>
      <c r="B125" s="1400" t="s">
        <v>197</v>
      </c>
      <c r="C125" s="1333" t="s">
        <v>593</v>
      </c>
      <c r="D125" s="466">
        <v>1.3</v>
      </c>
      <c r="E125" s="467">
        <v>2.9</v>
      </c>
      <c r="F125" s="467">
        <v>6.8</v>
      </c>
      <c r="G125" s="467">
        <v>8.3</v>
      </c>
      <c r="H125" s="468">
        <v>7.8</v>
      </c>
      <c r="I125" s="467">
        <v>6.8</v>
      </c>
      <c r="J125" s="469">
        <v>7</v>
      </c>
      <c r="K125" s="469">
        <v>6.8</v>
      </c>
      <c r="L125" s="469">
        <v>6.8</v>
      </c>
      <c r="M125" s="468">
        <v>6.8</v>
      </c>
      <c r="N125" s="475"/>
      <c r="O125" s="1343">
        <v>11</v>
      </c>
      <c r="P125" s="1344">
        <v>16.1</v>
      </c>
      <c r="Q125" s="1345">
        <v>27.1</v>
      </c>
      <c r="R125" s="475"/>
      <c r="S125" s="1343">
        <v>34.2</v>
      </c>
      <c r="T125" s="1407">
        <v>0.2619926199261993</v>
      </c>
    </row>
    <row r="126" spans="1:20" ht="12.75">
      <c r="A126" s="391"/>
      <c r="B126" s="1400" t="s">
        <v>198</v>
      </c>
      <c r="C126" s="1333" t="s">
        <v>593</v>
      </c>
      <c r="D126" s="1343">
        <v>21.4</v>
      </c>
      <c r="E126" s="1346">
        <v>23.900000000000002</v>
      </c>
      <c r="F126" s="1346">
        <v>27.800000000000004</v>
      </c>
      <c r="G126" s="1346">
        <v>30.1</v>
      </c>
      <c r="H126" s="1345">
        <v>28.200000000000003</v>
      </c>
      <c r="I126" s="1346">
        <f>+I125+I124</f>
        <v>26.3</v>
      </c>
      <c r="J126" s="1346">
        <f>+J125+J124</f>
        <v>25.5</v>
      </c>
      <c r="K126" s="1346">
        <f>+K125+K124</f>
        <v>24.8</v>
      </c>
      <c r="L126" s="1346">
        <f>+L125+L124</f>
        <v>24.8</v>
      </c>
      <c r="M126" s="1346">
        <f>+M125+M124</f>
        <v>24.8</v>
      </c>
      <c r="N126" s="475"/>
      <c r="O126" s="1343">
        <v>73.1</v>
      </c>
      <c r="P126" s="1344">
        <v>58.300000000000004</v>
      </c>
      <c r="Q126" s="1345">
        <v>131.39999999999998</v>
      </c>
      <c r="R126" s="475"/>
      <c r="S126" s="1343">
        <v>124.2</v>
      </c>
      <c r="T126" s="1407">
        <v>-0.05479452054794502</v>
      </c>
    </row>
    <row r="127" spans="1:20" ht="12.75">
      <c r="A127" s="391"/>
      <c r="B127" s="1400"/>
      <c r="C127" s="502"/>
      <c r="D127" s="526"/>
      <c r="E127" s="527"/>
      <c r="F127" s="527"/>
      <c r="G127" s="527"/>
      <c r="H127" s="528"/>
      <c r="I127" s="527"/>
      <c r="J127" s="527"/>
      <c r="K127" s="527"/>
      <c r="L127" s="527"/>
      <c r="M127" s="528"/>
      <c r="N127" s="1318"/>
      <c r="O127" s="470"/>
      <c r="P127" s="1405"/>
      <c r="Q127" s="471"/>
      <c r="R127" s="1318"/>
      <c r="S127" s="470"/>
      <c r="T127" s="471"/>
    </row>
    <row r="128" spans="1:20" ht="13.5" thickBot="1">
      <c r="A128" s="391"/>
      <c r="B128" s="1409" t="s">
        <v>238</v>
      </c>
      <c r="C128" s="1347" t="s">
        <v>593</v>
      </c>
      <c r="D128" s="1351">
        <v>1.3999999999999986</v>
      </c>
      <c r="E128" s="1351">
        <v>-2.1000000000000014</v>
      </c>
      <c r="F128" s="1351">
        <v>-4.300000000000001</v>
      </c>
      <c r="G128" s="1351">
        <v>-5.699999999999999</v>
      </c>
      <c r="H128" s="1350">
        <v>-3.900000000000002</v>
      </c>
      <c r="I128" s="1351">
        <v>-5.5000000000000036</v>
      </c>
      <c r="J128" s="1349">
        <v>-5.699999999999999</v>
      </c>
      <c r="K128" s="1349">
        <v>-5.599999999999998</v>
      </c>
      <c r="L128" s="1349">
        <v>-5.599999999999998</v>
      </c>
      <c r="M128" s="1350">
        <v>-5.599999999999998</v>
      </c>
      <c r="N128" s="475"/>
      <c r="O128" s="1348">
        <v>-5.0000000000000036</v>
      </c>
      <c r="P128" s="1349">
        <v>-9.600000000000001</v>
      </c>
      <c r="Q128" s="1350">
        <v>-14.600000000000005</v>
      </c>
      <c r="R128" s="475"/>
      <c r="S128" s="1348">
        <v>-27.999999999999996</v>
      </c>
      <c r="T128" s="1410">
        <v>0.9178082191780813</v>
      </c>
    </row>
    <row r="129" spans="1:20" ht="12.75">
      <c r="A129" s="391"/>
      <c r="B129" s="391"/>
      <c r="C129" s="482"/>
      <c r="D129" s="498"/>
      <c r="E129" s="498"/>
      <c r="F129" s="498"/>
      <c r="G129" s="498"/>
      <c r="H129" s="498"/>
      <c r="I129" s="498"/>
      <c r="J129" s="498"/>
      <c r="K129" s="498"/>
      <c r="L129" s="498"/>
      <c r="M129" s="498"/>
      <c r="N129" s="498"/>
      <c r="O129" s="498"/>
      <c r="P129" s="498"/>
      <c r="Q129" s="498"/>
      <c r="R129" s="498"/>
      <c r="S129" s="498"/>
      <c r="T129" s="498"/>
    </row>
    <row r="130" spans="1:20" ht="13.5" thickBot="1">
      <c r="A130" s="391"/>
      <c r="B130" s="391"/>
      <c r="C130" s="482"/>
      <c r="D130" s="498"/>
      <c r="E130" s="498"/>
      <c r="F130" s="498"/>
      <c r="G130" s="498"/>
      <c r="H130" s="498"/>
      <c r="I130" s="498"/>
      <c r="J130" s="498"/>
      <c r="K130" s="498"/>
      <c r="L130" s="498"/>
      <c r="M130" s="498"/>
      <c r="N130" s="498"/>
      <c r="O130" s="498"/>
      <c r="P130" s="498"/>
      <c r="Q130" s="498"/>
      <c r="R130" s="498"/>
      <c r="S130" s="498"/>
      <c r="T130" s="498"/>
    </row>
    <row r="131" spans="1:20" ht="12.75">
      <c r="A131" s="391"/>
      <c r="B131" s="523"/>
      <c r="C131" s="484"/>
      <c r="D131" s="1320" t="s">
        <v>547</v>
      </c>
      <c r="E131" s="1321"/>
      <c r="F131" s="1321"/>
      <c r="G131" s="1321"/>
      <c r="H131" s="487"/>
      <c r="I131" s="1321" t="s">
        <v>548</v>
      </c>
      <c r="J131" s="488"/>
      <c r="K131" s="488"/>
      <c r="L131" s="488"/>
      <c r="M131" s="487"/>
      <c r="N131" s="1318"/>
      <c r="O131" s="1322" t="s">
        <v>547</v>
      </c>
      <c r="P131" s="1323"/>
      <c r="Q131" s="1324"/>
      <c r="R131" s="1318"/>
      <c r="S131" s="1322" t="s">
        <v>548</v>
      </c>
      <c r="T131" s="1324"/>
    </row>
    <row r="132" spans="1:20" ht="25.5">
      <c r="A132" s="391"/>
      <c r="B132" s="510"/>
      <c r="C132" s="1325" t="s">
        <v>741</v>
      </c>
      <c r="D132" s="1326" t="s">
        <v>742</v>
      </c>
      <c r="E132" s="1327" t="s">
        <v>743</v>
      </c>
      <c r="F132" s="1327" t="s">
        <v>739</v>
      </c>
      <c r="G132" s="1327" t="s">
        <v>609</v>
      </c>
      <c r="H132" s="1328" t="s">
        <v>610</v>
      </c>
      <c r="I132" s="1329" t="s">
        <v>549</v>
      </c>
      <c r="J132" s="1327" t="s">
        <v>706</v>
      </c>
      <c r="K132" s="1327" t="s">
        <v>707</v>
      </c>
      <c r="L132" s="1327" t="s">
        <v>708</v>
      </c>
      <c r="M132" s="1328" t="s">
        <v>709</v>
      </c>
      <c r="N132" s="1318"/>
      <c r="O132" s="1330" t="s">
        <v>690</v>
      </c>
      <c r="P132" s="1331" t="s">
        <v>691</v>
      </c>
      <c r="Q132" s="1332" t="s">
        <v>757</v>
      </c>
      <c r="R132" s="1318"/>
      <c r="S132" s="1330" t="s">
        <v>691</v>
      </c>
      <c r="T132" s="1332" t="s">
        <v>692</v>
      </c>
    </row>
    <row r="133" spans="1:20" ht="25.5">
      <c r="A133" s="391"/>
      <c r="B133" s="1411" t="s">
        <v>239</v>
      </c>
      <c r="C133" s="532" t="s">
        <v>593</v>
      </c>
      <c r="D133" s="1334">
        <v>1</v>
      </c>
      <c r="E133" s="1335">
        <v>0.7999999999999999</v>
      </c>
      <c r="F133" s="1335">
        <v>0.5</v>
      </c>
      <c r="G133" s="1335">
        <v>1</v>
      </c>
      <c r="H133" s="1336">
        <v>0.9</v>
      </c>
      <c r="I133" s="1335">
        <v>0.9</v>
      </c>
      <c r="J133" s="1337">
        <v>0.9</v>
      </c>
      <c r="K133" s="1337">
        <v>0.7999999999999999</v>
      </c>
      <c r="L133" s="1337">
        <v>0.7999999999999999</v>
      </c>
      <c r="M133" s="1336">
        <v>0.7999999999999999</v>
      </c>
      <c r="N133" s="498"/>
      <c r="O133" s="533">
        <v>2.3</v>
      </c>
      <c r="P133" s="1412">
        <v>1.9</v>
      </c>
      <c r="Q133" s="534">
        <v>4.2</v>
      </c>
      <c r="R133" s="1318"/>
      <c r="S133" s="533">
        <v>4.2</v>
      </c>
      <c r="T133" s="1413">
        <v>0</v>
      </c>
    </row>
    <row r="134" spans="1:20" ht="25.5">
      <c r="A134" s="391"/>
      <c r="B134" s="1411" t="s">
        <v>83</v>
      </c>
      <c r="C134" s="532" t="s">
        <v>593</v>
      </c>
      <c r="D134" s="1339">
        <v>0</v>
      </c>
      <c r="E134" s="1340">
        <v>0</v>
      </c>
      <c r="F134" s="1340">
        <v>2</v>
      </c>
      <c r="G134" s="1340">
        <v>1.6</v>
      </c>
      <c r="H134" s="1341">
        <v>3.0000000000000004</v>
      </c>
      <c r="I134" s="1340">
        <v>0.39999999999999997</v>
      </c>
      <c r="J134" s="1342">
        <v>0.4</v>
      </c>
      <c r="K134" s="1342">
        <v>0.4</v>
      </c>
      <c r="L134" s="1342">
        <v>0.4</v>
      </c>
      <c r="M134" s="1341">
        <v>0.4</v>
      </c>
      <c r="N134" s="498"/>
      <c r="O134" s="392">
        <v>2</v>
      </c>
      <c r="P134" s="393">
        <v>4.6000000000000005</v>
      </c>
      <c r="Q134" s="394">
        <v>6.6000000000000005</v>
      </c>
      <c r="R134" s="1318"/>
      <c r="S134" s="392">
        <v>2</v>
      </c>
      <c r="T134" s="1338">
        <v>-0.696969696969697</v>
      </c>
    </row>
    <row r="135" spans="1:20" ht="25.5">
      <c r="A135" s="391"/>
      <c r="B135" s="1411" t="s">
        <v>243</v>
      </c>
      <c r="C135" s="532" t="s">
        <v>593</v>
      </c>
      <c r="D135" s="1339">
        <v>0</v>
      </c>
      <c r="E135" s="1340">
        <v>0</v>
      </c>
      <c r="F135" s="1340">
        <v>0</v>
      </c>
      <c r="G135" s="1340">
        <v>0</v>
      </c>
      <c r="H135" s="1341">
        <v>0</v>
      </c>
      <c r="I135" s="1340">
        <v>0</v>
      </c>
      <c r="J135" s="1342">
        <v>0</v>
      </c>
      <c r="K135" s="1342">
        <v>0</v>
      </c>
      <c r="L135" s="1342">
        <v>0</v>
      </c>
      <c r="M135" s="1341">
        <v>0</v>
      </c>
      <c r="N135" s="498"/>
      <c r="O135" s="392">
        <v>0</v>
      </c>
      <c r="P135" s="393">
        <v>0</v>
      </c>
      <c r="Q135" s="394">
        <v>0</v>
      </c>
      <c r="R135" s="1318"/>
      <c r="S135" s="392">
        <v>0</v>
      </c>
      <c r="T135" s="1338" t="s">
        <v>28</v>
      </c>
    </row>
    <row r="136" spans="1:20" ht="26.25" thickBot="1">
      <c r="A136" s="391"/>
      <c r="B136" s="1414" t="s">
        <v>244</v>
      </c>
      <c r="C136" s="535" t="s">
        <v>593</v>
      </c>
      <c r="D136" s="1415">
        <v>0</v>
      </c>
      <c r="E136" s="1416">
        <v>0</v>
      </c>
      <c r="F136" s="1416">
        <v>0</v>
      </c>
      <c r="G136" s="1416">
        <v>0</v>
      </c>
      <c r="H136" s="1417">
        <v>0</v>
      </c>
      <c r="I136" s="1416">
        <v>0</v>
      </c>
      <c r="J136" s="1418">
        <v>0</v>
      </c>
      <c r="K136" s="1418">
        <v>0</v>
      </c>
      <c r="L136" s="1418">
        <v>0</v>
      </c>
      <c r="M136" s="1417">
        <v>0</v>
      </c>
      <c r="N136" s="498"/>
      <c r="O136" s="405">
        <v>0</v>
      </c>
      <c r="P136" s="406">
        <v>0</v>
      </c>
      <c r="Q136" s="407">
        <v>0</v>
      </c>
      <c r="R136" s="1318"/>
      <c r="S136" s="405">
        <v>0</v>
      </c>
      <c r="T136" s="1352" t="s">
        <v>28</v>
      </c>
    </row>
    <row r="137" spans="1:20" ht="12.75">
      <c r="A137" s="536"/>
      <c r="B137" s="1419"/>
      <c r="C137" s="537"/>
      <c r="D137" s="508"/>
      <c r="E137" s="508"/>
      <c r="F137" s="508"/>
      <c r="G137" s="508"/>
      <c r="H137" s="508"/>
      <c r="I137" s="508"/>
      <c r="J137" s="508"/>
      <c r="K137" s="508"/>
      <c r="L137" s="508"/>
      <c r="M137" s="508"/>
      <c r="N137" s="508"/>
      <c r="O137" s="498"/>
      <c r="P137" s="498"/>
      <c r="Q137" s="498"/>
      <c r="R137" s="498"/>
      <c r="S137" s="498"/>
      <c r="T137" s="498"/>
    </row>
    <row r="138" spans="1:20" ht="12.75">
      <c r="A138" s="391"/>
      <c r="B138" s="391"/>
      <c r="C138" s="482"/>
      <c r="D138" s="498"/>
      <c r="E138" s="498"/>
      <c r="F138" s="498"/>
      <c r="G138" s="498"/>
      <c r="H138" s="498"/>
      <c r="I138" s="498"/>
      <c r="J138" s="498"/>
      <c r="K138" s="498"/>
      <c r="L138" s="498"/>
      <c r="M138" s="498"/>
      <c r="N138" s="498"/>
      <c r="O138" s="498"/>
      <c r="P138" s="498"/>
      <c r="Q138" s="498"/>
      <c r="R138" s="498"/>
      <c r="S138" s="498"/>
      <c r="T138" s="498"/>
    </row>
    <row r="139" spans="1:20" ht="12.75">
      <c r="A139" s="391"/>
      <c r="B139" s="391"/>
      <c r="C139" s="482"/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</row>
    <row r="140" spans="1:20" ht="12.75">
      <c r="A140" s="391"/>
      <c r="B140" s="391"/>
      <c r="C140" s="482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</row>
    <row r="141" spans="1:20" ht="12.75">
      <c r="A141" s="391"/>
      <c r="B141" s="391"/>
      <c r="C141" s="482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  <c r="Q141" s="498"/>
      <c r="R141" s="498"/>
      <c r="S141" s="498"/>
      <c r="T141" s="498"/>
    </row>
    <row r="142" spans="1:20" ht="12.75">
      <c r="A142" s="391"/>
      <c r="B142" s="391"/>
      <c r="C142" s="482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  <c r="Q142" s="498"/>
      <c r="R142" s="498"/>
      <c r="S142" s="498"/>
      <c r="T142" s="498"/>
    </row>
    <row r="143" spans="1:20" ht="12.75">
      <c r="A143" s="391"/>
      <c r="B143" s="391"/>
      <c r="C143" s="482"/>
      <c r="D143" s="498"/>
      <c r="E143" s="498"/>
      <c r="F143" s="498"/>
      <c r="G143" s="498"/>
      <c r="H143" s="498"/>
      <c r="I143" s="498"/>
      <c r="J143" s="498"/>
      <c r="K143" s="498"/>
      <c r="L143" s="498"/>
      <c r="M143" s="498"/>
      <c r="N143" s="498"/>
      <c r="O143" s="498"/>
      <c r="P143" s="498"/>
      <c r="Q143" s="498"/>
      <c r="R143" s="498"/>
      <c r="S143" s="498"/>
      <c r="T143" s="498"/>
    </row>
    <row r="144" spans="1:20" ht="12.75">
      <c r="A144" s="391"/>
      <c r="B144" s="391"/>
      <c r="C144" s="482"/>
      <c r="D144" s="498"/>
      <c r="E144" s="498"/>
      <c r="F144" s="498"/>
      <c r="G144" s="498"/>
      <c r="H144" s="498"/>
      <c r="I144" s="498"/>
      <c r="J144" s="498"/>
      <c r="K144" s="498"/>
      <c r="L144" s="498"/>
      <c r="M144" s="498"/>
      <c r="N144" s="498"/>
      <c r="O144" s="498"/>
      <c r="P144" s="498"/>
      <c r="Q144" s="498"/>
      <c r="R144" s="498"/>
      <c r="S144" s="498"/>
      <c r="T144" s="498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D11" sqref="D11:AB19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5" t="s">
        <v>415</v>
      </c>
      <c r="G1" s="389" t="s">
        <v>776</v>
      </c>
    </row>
    <row r="2" ht="12.75">
      <c r="A2" s="385"/>
    </row>
    <row r="3" ht="12.75">
      <c r="A3" s="385" t="s">
        <v>604</v>
      </c>
    </row>
    <row r="5" spans="1:26" ht="12.75">
      <c r="A5" s="391"/>
      <c r="B5" s="481" t="s">
        <v>605</v>
      </c>
      <c r="C5" s="48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</row>
    <row r="6" spans="1:26" ht="13.5" thickBot="1">
      <c r="A6" s="391"/>
      <c r="B6" s="481"/>
      <c r="C6" s="48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</row>
    <row r="7" spans="1:26" ht="12.75">
      <c r="A7" s="391"/>
      <c r="B7" s="481"/>
      <c r="C7" s="483"/>
      <c r="D7" s="485" t="s">
        <v>547</v>
      </c>
      <c r="E7" s="486"/>
      <c r="F7" s="486"/>
      <c r="G7" s="486"/>
      <c r="H7" s="487"/>
      <c r="I7" s="486" t="s">
        <v>548</v>
      </c>
      <c r="J7" s="488"/>
      <c r="K7" s="488"/>
      <c r="L7" s="488"/>
      <c r="M7" s="487"/>
      <c r="N7" s="395"/>
      <c r="O7" s="489" t="s">
        <v>547</v>
      </c>
      <c r="P7" s="490"/>
      <c r="Q7" s="491"/>
      <c r="R7" s="395"/>
      <c r="S7" s="489" t="s">
        <v>548</v>
      </c>
      <c r="T7" s="491"/>
      <c r="U7" s="391"/>
      <c r="V7" s="391"/>
      <c r="W7" s="391"/>
      <c r="X7" s="391"/>
      <c r="Y7" s="391"/>
      <c r="Z7" s="391"/>
    </row>
    <row r="8" spans="1:26" ht="25.5">
      <c r="A8" s="391"/>
      <c r="B8" s="391"/>
      <c r="C8" s="553"/>
      <c r="D8" s="493" t="s">
        <v>742</v>
      </c>
      <c r="E8" s="494" t="s">
        <v>743</v>
      </c>
      <c r="F8" s="494" t="s">
        <v>739</v>
      </c>
      <c r="G8" s="494" t="s">
        <v>609</v>
      </c>
      <c r="H8" s="495" t="s">
        <v>610</v>
      </c>
      <c r="I8" s="554" t="s">
        <v>549</v>
      </c>
      <c r="J8" s="494" t="s">
        <v>706</v>
      </c>
      <c r="K8" s="494" t="s">
        <v>707</v>
      </c>
      <c r="L8" s="494" t="s">
        <v>708</v>
      </c>
      <c r="M8" s="495" t="s">
        <v>709</v>
      </c>
      <c r="N8" s="395"/>
      <c r="O8" s="493" t="s">
        <v>690</v>
      </c>
      <c r="P8" s="494" t="s">
        <v>691</v>
      </c>
      <c r="Q8" s="495" t="s">
        <v>757</v>
      </c>
      <c r="R8" s="395"/>
      <c r="S8" s="493" t="s">
        <v>691</v>
      </c>
      <c r="T8" s="495" t="s">
        <v>692</v>
      </c>
      <c r="U8" s="391"/>
      <c r="V8" s="391"/>
      <c r="W8" s="391"/>
      <c r="X8" s="391"/>
      <c r="Y8" s="391"/>
      <c r="Z8" s="391"/>
    </row>
    <row r="9" spans="1:26" ht="12.75">
      <c r="A9" s="391"/>
      <c r="B9" s="391"/>
      <c r="C9" s="492"/>
      <c r="D9" s="555" t="s">
        <v>467</v>
      </c>
      <c r="E9" s="556" t="s">
        <v>467</v>
      </c>
      <c r="F9" s="556" t="s">
        <v>467</v>
      </c>
      <c r="G9" s="556" t="s">
        <v>467</v>
      </c>
      <c r="H9" s="557" t="s">
        <v>467</v>
      </c>
      <c r="I9" s="558" t="s">
        <v>467</v>
      </c>
      <c r="J9" s="556" t="s">
        <v>467</v>
      </c>
      <c r="K9" s="556" t="s">
        <v>467</v>
      </c>
      <c r="L9" s="556" t="s">
        <v>467</v>
      </c>
      <c r="M9" s="557" t="s">
        <v>467</v>
      </c>
      <c r="N9" s="514"/>
      <c r="O9" s="555" t="s">
        <v>467</v>
      </c>
      <c r="P9" s="556" t="s">
        <v>467</v>
      </c>
      <c r="Q9" s="557" t="s">
        <v>467</v>
      </c>
      <c r="R9" s="514"/>
      <c r="S9" s="555" t="s">
        <v>467</v>
      </c>
      <c r="T9" s="557" t="s">
        <v>467</v>
      </c>
      <c r="U9" s="391"/>
      <c r="V9" s="391"/>
      <c r="W9" s="391"/>
      <c r="X9" s="391"/>
      <c r="Y9" s="391"/>
      <c r="Z9" s="391"/>
    </row>
    <row r="10" spans="1:26" ht="12.75">
      <c r="A10" s="391"/>
      <c r="B10" s="391"/>
      <c r="C10" s="559" t="s">
        <v>606</v>
      </c>
      <c r="D10" s="560"/>
      <c r="E10" s="561"/>
      <c r="F10" s="561"/>
      <c r="G10" s="561"/>
      <c r="H10" s="562"/>
      <c r="I10" s="561"/>
      <c r="J10" s="561"/>
      <c r="K10" s="561"/>
      <c r="L10" s="561"/>
      <c r="M10" s="562"/>
      <c r="N10" s="514"/>
      <c r="O10" s="560"/>
      <c r="P10" s="508"/>
      <c r="Q10" s="509"/>
      <c r="R10" s="514"/>
      <c r="S10" s="560"/>
      <c r="T10" s="563"/>
      <c r="U10" s="391"/>
      <c r="V10" s="391"/>
      <c r="W10" s="391"/>
      <c r="X10" s="391"/>
      <c r="Y10" s="391"/>
      <c r="Z10" s="391"/>
    </row>
    <row r="11" spans="1:26" ht="12.75">
      <c r="A11" s="391"/>
      <c r="B11" s="391"/>
      <c r="C11" s="564" t="s">
        <v>532</v>
      </c>
      <c r="D11" s="466">
        <v>0.2</v>
      </c>
      <c r="E11" s="467">
        <v>0.1</v>
      </c>
      <c r="F11" s="467">
        <v>0.3</v>
      </c>
      <c r="G11" s="467">
        <v>0.3</v>
      </c>
      <c r="H11" s="468">
        <v>0.3</v>
      </c>
      <c r="I11" s="467">
        <v>0.2</v>
      </c>
      <c r="J11" s="469">
        <v>0.2</v>
      </c>
      <c r="K11" s="469">
        <v>0.2</v>
      </c>
      <c r="L11" s="469">
        <v>0.2</v>
      </c>
      <c r="M11" s="468">
        <v>0.2</v>
      </c>
      <c r="N11" s="565"/>
      <c r="O11" s="392">
        <v>0.6</v>
      </c>
      <c r="P11" s="393">
        <v>0.6</v>
      </c>
      <c r="Q11" s="394">
        <v>1.2</v>
      </c>
      <c r="R11" s="566"/>
      <c r="S11" s="392">
        <v>1</v>
      </c>
      <c r="T11" s="396">
        <v>-0.1666666666666668</v>
      </c>
      <c r="U11" s="391"/>
      <c r="V11" s="391"/>
      <c r="W11" s="391"/>
      <c r="X11" s="391"/>
      <c r="Y11" s="391"/>
      <c r="Z11" s="391"/>
    </row>
    <row r="12" spans="1:26" ht="12.75">
      <c r="A12" s="391"/>
      <c r="B12" s="391"/>
      <c r="C12" s="564" t="s">
        <v>399</v>
      </c>
      <c r="D12" s="466">
        <v>1</v>
      </c>
      <c r="E12" s="467">
        <v>0.9</v>
      </c>
      <c r="F12" s="467">
        <v>0.5</v>
      </c>
      <c r="G12" s="467">
        <v>1.2</v>
      </c>
      <c r="H12" s="468">
        <v>1.5</v>
      </c>
      <c r="I12" s="467">
        <v>1.1</v>
      </c>
      <c r="J12" s="469">
        <v>1.2</v>
      </c>
      <c r="K12" s="469">
        <v>1.2</v>
      </c>
      <c r="L12" s="469">
        <v>1.2</v>
      </c>
      <c r="M12" s="468">
        <v>1.2</v>
      </c>
      <c r="N12" s="565"/>
      <c r="O12" s="392">
        <v>2.4</v>
      </c>
      <c r="P12" s="393">
        <v>2.7</v>
      </c>
      <c r="Q12" s="394">
        <v>5.1</v>
      </c>
      <c r="R12" s="566"/>
      <c r="S12" s="392">
        <v>5.9</v>
      </c>
      <c r="T12" s="396">
        <v>0.15686274509803935</v>
      </c>
      <c r="U12" s="391"/>
      <c r="V12" s="391"/>
      <c r="W12" s="391"/>
      <c r="X12" s="391"/>
      <c r="Y12" s="391"/>
      <c r="Z12" s="391"/>
    </row>
    <row r="13" spans="1:26" ht="12.75">
      <c r="A13" s="391"/>
      <c r="B13" s="391"/>
      <c r="C13" s="564" t="s">
        <v>400</v>
      </c>
      <c r="D13" s="466">
        <v>4</v>
      </c>
      <c r="E13" s="467">
        <v>2.4</v>
      </c>
      <c r="F13" s="467">
        <v>1.3</v>
      </c>
      <c r="G13" s="467">
        <v>1</v>
      </c>
      <c r="H13" s="468">
        <v>1.5</v>
      </c>
      <c r="I13" s="467">
        <v>1</v>
      </c>
      <c r="J13" s="469">
        <v>1</v>
      </c>
      <c r="K13" s="469">
        <v>0.7</v>
      </c>
      <c r="L13" s="469">
        <v>1.65</v>
      </c>
      <c r="M13" s="468">
        <v>0.8</v>
      </c>
      <c r="N13" s="565"/>
      <c r="O13" s="392">
        <v>7.7</v>
      </c>
      <c r="P13" s="393">
        <v>2.5</v>
      </c>
      <c r="Q13" s="394">
        <v>10.2</v>
      </c>
      <c r="R13" s="566"/>
      <c r="S13" s="392">
        <v>7.2</v>
      </c>
      <c r="T13" s="396">
        <v>-0.29411764705882354</v>
      </c>
      <c r="U13" s="391"/>
      <c r="V13" s="391"/>
      <c r="W13" s="391"/>
      <c r="X13" s="391"/>
      <c r="Y13" s="391"/>
      <c r="Z13" s="391"/>
    </row>
    <row r="14" spans="1:26" ht="12.75">
      <c r="A14" s="391"/>
      <c r="B14" s="391"/>
      <c r="C14" s="564" t="s">
        <v>521</v>
      </c>
      <c r="D14" s="466">
        <v>3.2</v>
      </c>
      <c r="E14" s="467">
        <v>5.4</v>
      </c>
      <c r="F14" s="467">
        <v>3.6</v>
      </c>
      <c r="G14" s="467">
        <v>4.2</v>
      </c>
      <c r="H14" s="468">
        <v>0.9</v>
      </c>
      <c r="I14" s="467">
        <v>1</v>
      </c>
      <c r="J14" s="469">
        <v>1.3</v>
      </c>
      <c r="K14" s="469">
        <v>2.1</v>
      </c>
      <c r="L14" s="469">
        <v>2.8</v>
      </c>
      <c r="M14" s="468">
        <v>1</v>
      </c>
      <c r="N14" s="565"/>
      <c r="O14" s="392">
        <v>12.2</v>
      </c>
      <c r="P14" s="393">
        <v>5.1</v>
      </c>
      <c r="Q14" s="394">
        <v>17.3</v>
      </c>
      <c r="R14" s="566"/>
      <c r="S14" s="392">
        <v>20.3</v>
      </c>
      <c r="T14" s="396">
        <v>0.17341040462427745</v>
      </c>
      <c r="U14" s="391"/>
      <c r="V14" s="391"/>
      <c r="W14" s="391"/>
      <c r="X14" s="391"/>
      <c r="Y14" s="391"/>
      <c r="Z14" s="391"/>
    </row>
    <row r="15" spans="1:26" ht="38.25">
      <c r="A15" s="391"/>
      <c r="B15" s="391"/>
      <c r="C15" s="506" t="s">
        <v>219</v>
      </c>
      <c r="D15" s="473"/>
      <c r="E15" s="474"/>
      <c r="F15" s="474"/>
      <c r="G15" s="467">
        <v>0</v>
      </c>
      <c r="H15" s="468">
        <v>0</v>
      </c>
      <c r="I15" s="467">
        <v>0</v>
      </c>
      <c r="J15" s="469">
        <v>0</v>
      </c>
      <c r="K15" s="469">
        <v>0</v>
      </c>
      <c r="L15" s="469">
        <v>0</v>
      </c>
      <c r="M15" s="468">
        <v>0</v>
      </c>
      <c r="N15" s="566"/>
      <c r="O15" s="392">
        <v>0</v>
      </c>
      <c r="P15" s="393">
        <v>0</v>
      </c>
      <c r="Q15" s="394">
        <v>0</v>
      </c>
      <c r="R15" s="566"/>
      <c r="S15" s="392">
        <v>0</v>
      </c>
      <c r="T15" s="396" t="s">
        <v>28</v>
      </c>
      <c r="U15" s="391"/>
      <c r="V15" s="391"/>
      <c r="W15" s="391"/>
      <c r="X15" s="391"/>
      <c r="Y15" s="391"/>
      <c r="Z15" s="391"/>
    </row>
    <row r="16" spans="1:26" ht="12.75">
      <c r="A16" s="391"/>
      <c r="B16" s="391"/>
      <c r="C16" s="506" t="s">
        <v>757</v>
      </c>
      <c r="D16" s="397">
        <v>8.4</v>
      </c>
      <c r="E16" s="400">
        <v>8.8</v>
      </c>
      <c r="F16" s="400">
        <v>5.7</v>
      </c>
      <c r="G16" s="400">
        <v>6.7</v>
      </c>
      <c r="H16" s="399">
        <v>4.2</v>
      </c>
      <c r="I16" s="400">
        <v>3.3</v>
      </c>
      <c r="J16" s="398">
        <v>3.7</v>
      </c>
      <c r="K16" s="398">
        <v>4.2</v>
      </c>
      <c r="L16" s="398">
        <v>5.85</v>
      </c>
      <c r="M16" s="399">
        <v>3.2</v>
      </c>
      <c r="N16" s="567"/>
      <c r="O16" s="397">
        <v>22.9</v>
      </c>
      <c r="P16" s="398">
        <v>10.9</v>
      </c>
      <c r="Q16" s="399">
        <v>33.8</v>
      </c>
      <c r="R16" s="567"/>
      <c r="S16" s="397">
        <v>34.4</v>
      </c>
      <c r="T16" s="568">
        <v>0.01775147928994066</v>
      </c>
      <c r="U16" s="391"/>
      <c r="V16" s="391"/>
      <c r="W16" s="391"/>
      <c r="X16" s="391"/>
      <c r="Y16" s="391"/>
      <c r="Z16" s="391"/>
    </row>
    <row r="17" spans="1:26" ht="12.75">
      <c r="A17" s="391"/>
      <c r="B17" s="391"/>
      <c r="C17" s="506"/>
      <c r="D17" s="569"/>
      <c r="E17" s="570"/>
      <c r="F17" s="570"/>
      <c r="G17" s="570"/>
      <c r="H17" s="571"/>
      <c r="I17" s="570"/>
      <c r="J17" s="570"/>
      <c r="K17" s="570"/>
      <c r="L17" s="570"/>
      <c r="M17" s="571"/>
      <c r="N17" s="565"/>
      <c r="O17" s="569"/>
      <c r="P17" s="572"/>
      <c r="Q17" s="573"/>
      <c r="R17" s="565"/>
      <c r="S17" s="569"/>
      <c r="T17" s="574"/>
      <c r="U17" s="391"/>
      <c r="V17" s="391"/>
      <c r="W17" s="391"/>
      <c r="X17" s="391"/>
      <c r="Y17" s="391"/>
      <c r="Z17" s="391"/>
    </row>
    <row r="18" spans="1:26" ht="38.25">
      <c r="A18" s="391"/>
      <c r="B18" s="391"/>
      <c r="C18" s="506" t="s">
        <v>350</v>
      </c>
      <c r="D18" s="473"/>
      <c r="E18" s="474"/>
      <c r="F18" s="474"/>
      <c r="G18" s="467">
        <v>0</v>
      </c>
      <c r="H18" s="468">
        <v>0</v>
      </c>
      <c r="I18" s="467">
        <v>0</v>
      </c>
      <c r="J18" s="469">
        <v>0</v>
      </c>
      <c r="K18" s="469">
        <v>0</v>
      </c>
      <c r="L18" s="469">
        <v>0</v>
      </c>
      <c r="M18" s="468">
        <v>0</v>
      </c>
      <c r="N18" s="566"/>
      <c r="O18" s="392">
        <v>0</v>
      </c>
      <c r="P18" s="393">
        <v>0</v>
      </c>
      <c r="Q18" s="394">
        <v>0</v>
      </c>
      <c r="R18" s="566"/>
      <c r="S18" s="392">
        <v>0</v>
      </c>
      <c r="T18" s="396" t="s">
        <v>28</v>
      </c>
      <c r="U18" s="391"/>
      <c r="V18" s="391"/>
      <c r="W18" s="391"/>
      <c r="X18" s="391"/>
      <c r="Y18" s="391"/>
      <c r="Z18" s="391"/>
    </row>
    <row r="19" spans="1:26" ht="39" thickBot="1">
      <c r="A19" s="391"/>
      <c r="B19" s="391"/>
      <c r="C19" s="512" t="s">
        <v>351</v>
      </c>
      <c r="D19" s="476"/>
      <c r="E19" s="477"/>
      <c r="F19" s="477"/>
      <c r="G19" s="478">
        <v>0</v>
      </c>
      <c r="H19" s="479">
        <v>0</v>
      </c>
      <c r="I19" s="478">
        <v>0</v>
      </c>
      <c r="J19" s="480">
        <v>0</v>
      </c>
      <c r="K19" s="480">
        <v>0</v>
      </c>
      <c r="L19" s="480">
        <v>0</v>
      </c>
      <c r="M19" s="479">
        <v>0</v>
      </c>
      <c r="N19" s="566"/>
      <c r="O19" s="405">
        <v>0</v>
      </c>
      <c r="P19" s="406">
        <v>0</v>
      </c>
      <c r="Q19" s="407">
        <v>0</v>
      </c>
      <c r="R19" s="566"/>
      <c r="S19" s="405">
        <v>0</v>
      </c>
      <c r="T19" s="408" t="s">
        <v>28</v>
      </c>
      <c r="U19" s="391"/>
      <c r="V19" s="391"/>
      <c r="W19" s="391"/>
      <c r="X19" s="391"/>
      <c r="Y19" s="391"/>
      <c r="Z19" s="391"/>
    </row>
    <row r="20" spans="1:26" ht="12.75">
      <c r="A20" s="391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</row>
    <row r="21" spans="1:26" ht="12.75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</row>
    <row r="22" spans="1:26" ht="12.75">
      <c r="A22" s="391"/>
      <c r="B22" s="481" t="s">
        <v>353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</row>
    <row r="23" spans="1:26" ht="13.5" thickBot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</row>
    <row r="24" spans="1:26" ht="12.75">
      <c r="A24" s="391"/>
      <c r="B24" s="575"/>
      <c r="C24" s="490" t="s">
        <v>354</v>
      </c>
      <c r="D24" s="490"/>
      <c r="E24" s="490"/>
      <c r="F24" s="576"/>
      <c r="G24" s="486"/>
      <c r="H24" s="577"/>
      <c r="I24" s="578"/>
      <c r="J24" s="485" t="s">
        <v>547</v>
      </c>
      <c r="K24" s="486"/>
      <c r="L24" s="486"/>
      <c r="M24" s="486"/>
      <c r="N24" s="487"/>
      <c r="O24" s="486" t="s">
        <v>548</v>
      </c>
      <c r="P24" s="488"/>
      <c r="Q24" s="488"/>
      <c r="R24" s="488"/>
      <c r="S24" s="487"/>
      <c r="T24" s="579" t="s">
        <v>355</v>
      </c>
      <c r="U24" s="580"/>
      <c r="V24" s="580"/>
      <c r="W24" s="580"/>
      <c r="X24" s="580"/>
      <c r="Y24" s="580"/>
      <c r="Z24" s="581"/>
    </row>
    <row r="25" spans="1:26" s="625" customFormat="1" ht="101.25">
      <c r="A25" s="618"/>
      <c r="B25" s="619"/>
      <c r="C25" s="620" t="s">
        <v>356</v>
      </c>
      <c r="D25" s="621" t="s">
        <v>765</v>
      </c>
      <c r="E25" s="620" t="s">
        <v>766</v>
      </c>
      <c r="F25" s="622" t="s">
        <v>493</v>
      </c>
      <c r="G25" s="622" t="s">
        <v>494</v>
      </c>
      <c r="H25" s="623" t="s">
        <v>495</v>
      </c>
      <c r="I25" s="624" t="s">
        <v>368</v>
      </c>
      <c r="J25" s="623" t="s">
        <v>742</v>
      </c>
      <c r="K25" s="620" t="s">
        <v>743</v>
      </c>
      <c r="L25" s="620" t="s">
        <v>739</v>
      </c>
      <c r="M25" s="620" t="s">
        <v>609</v>
      </c>
      <c r="N25" s="624" t="s">
        <v>610</v>
      </c>
      <c r="O25" s="623" t="s">
        <v>549</v>
      </c>
      <c r="P25" s="620" t="s">
        <v>706</v>
      </c>
      <c r="Q25" s="620" t="s">
        <v>707</v>
      </c>
      <c r="R25" s="620" t="s">
        <v>708</v>
      </c>
      <c r="S25" s="624" t="s">
        <v>709</v>
      </c>
      <c r="T25" s="1484" t="s">
        <v>508</v>
      </c>
      <c r="U25" s="1485"/>
      <c r="V25" s="1485"/>
      <c r="W25" s="1485"/>
      <c r="X25" s="1485"/>
      <c r="Y25" s="1485"/>
      <c r="Z25" s="1486"/>
    </row>
    <row r="26" spans="1:26" ht="12.75">
      <c r="A26" s="391"/>
      <c r="B26" s="492"/>
      <c r="C26" s="583" t="s">
        <v>509</v>
      </c>
      <c r="D26" s="582" t="s">
        <v>510</v>
      </c>
      <c r="E26" s="583" t="s">
        <v>511</v>
      </c>
      <c r="F26" s="584" t="s">
        <v>512</v>
      </c>
      <c r="G26" s="584" t="s">
        <v>513</v>
      </c>
      <c r="H26" s="585" t="s">
        <v>467</v>
      </c>
      <c r="I26" s="586" t="s">
        <v>467</v>
      </c>
      <c r="J26" s="555" t="s">
        <v>467</v>
      </c>
      <c r="K26" s="556" t="s">
        <v>467</v>
      </c>
      <c r="L26" s="556" t="s">
        <v>467</v>
      </c>
      <c r="M26" s="556" t="s">
        <v>467</v>
      </c>
      <c r="N26" s="557" t="s">
        <v>467</v>
      </c>
      <c r="O26" s="555" t="s">
        <v>467</v>
      </c>
      <c r="P26" s="556" t="s">
        <v>467</v>
      </c>
      <c r="Q26" s="556" t="s">
        <v>467</v>
      </c>
      <c r="R26" s="556" t="s">
        <v>467</v>
      </c>
      <c r="S26" s="557" t="s">
        <v>467</v>
      </c>
      <c r="T26" s="1487" t="s">
        <v>500</v>
      </c>
      <c r="U26" s="1488"/>
      <c r="V26" s="1488"/>
      <c r="W26" s="1488"/>
      <c r="X26" s="1488"/>
      <c r="Y26" s="1488"/>
      <c r="Z26" s="1489"/>
    </row>
    <row r="27" spans="1:26" ht="12.75">
      <c r="A27" s="587"/>
      <c r="B27" s="588">
        <v>1</v>
      </c>
      <c r="C27" s="589"/>
      <c r="D27" s="589"/>
      <c r="E27" s="589"/>
      <c r="F27" s="590"/>
      <c r="G27" s="590"/>
      <c r="H27" s="591"/>
      <c r="I27" s="592"/>
      <c r="J27" s="591"/>
      <c r="K27" s="593"/>
      <c r="L27" s="593"/>
      <c r="M27" s="593"/>
      <c r="N27" s="594"/>
      <c r="O27" s="593"/>
      <c r="P27" s="595"/>
      <c r="Q27" s="595"/>
      <c r="R27" s="595"/>
      <c r="S27" s="594"/>
      <c r="T27" s="1478"/>
      <c r="U27" s="1479"/>
      <c r="V27" s="1479"/>
      <c r="W27" s="1479"/>
      <c r="X27" s="1479"/>
      <c r="Y27" s="1479"/>
      <c r="Z27" s="1480"/>
    </row>
    <row r="28" spans="1:26" ht="12.75">
      <c r="A28" s="587"/>
      <c r="B28" s="596">
        <v>2</v>
      </c>
      <c r="C28" s="589"/>
      <c r="D28" s="589"/>
      <c r="E28" s="589"/>
      <c r="F28" s="590"/>
      <c r="G28" s="590"/>
      <c r="H28" s="591"/>
      <c r="I28" s="592"/>
      <c r="J28" s="591"/>
      <c r="K28" s="593"/>
      <c r="L28" s="593"/>
      <c r="M28" s="593"/>
      <c r="N28" s="594"/>
      <c r="O28" s="593"/>
      <c r="P28" s="595"/>
      <c r="Q28" s="595"/>
      <c r="R28" s="595"/>
      <c r="S28" s="594"/>
      <c r="T28" s="1478"/>
      <c r="U28" s="1479"/>
      <c r="V28" s="1479"/>
      <c r="W28" s="1479"/>
      <c r="X28" s="1479"/>
      <c r="Y28" s="1479"/>
      <c r="Z28" s="1480"/>
    </row>
    <row r="29" spans="1:26" ht="12.75">
      <c r="A29" s="587"/>
      <c r="B29" s="596">
        <v>3</v>
      </c>
      <c r="C29" s="589"/>
      <c r="D29" s="589"/>
      <c r="E29" s="589"/>
      <c r="F29" s="590"/>
      <c r="G29" s="590"/>
      <c r="H29" s="591"/>
      <c r="I29" s="592"/>
      <c r="J29" s="591"/>
      <c r="K29" s="593"/>
      <c r="L29" s="593"/>
      <c r="M29" s="593"/>
      <c r="N29" s="594"/>
      <c r="O29" s="593"/>
      <c r="P29" s="595"/>
      <c r="Q29" s="595"/>
      <c r="R29" s="595"/>
      <c r="S29" s="594"/>
      <c r="T29" s="1478"/>
      <c r="U29" s="1479"/>
      <c r="V29" s="1479"/>
      <c r="W29" s="1479"/>
      <c r="X29" s="1479"/>
      <c r="Y29" s="1479"/>
      <c r="Z29" s="1480"/>
    </row>
    <row r="30" spans="1:26" ht="12.75">
      <c r="A30" s="587"/>
      <c r="B30" s="596">
        <v>4</v>
      </c>
      <c r="C30" s="589"/>
      <c r="D30" s="589"/>
      <c r="E30" s="589"/>
      <c r="F30" s="590"/>
      <c r="G30" s="590"/>
      <c r="H30" s="591"/>
      <c r="I30" s="592"/>
      <c r="J30" s="591"/>
      <c r="K30" s="593"/>
      <c r="L30" s="593"/>
      <c r="M30" s="593"/>
      <c r="N30" s="594"/>
      <c r="O30" s="593"/>
      <c r="P30" s="595"/>
      <c r="Q30" s="595"/>
      <c r="R30" s="595"/>
      <c r="S30" s="594"/>
      <c r="T30" s="1478"/>
      <c r="U30" s="1479"/>
      <c r="V30" s="1479"/>
      <c r="W30" s="1479"/>
      <c r="X30" s="1479"/>
      <c r="Y30" s="1479"/>
      <c r="Z30" s="1480"/>
    </row>
    <row r="31" spans="1:26" ht="12.75">
      <c r="A31" s="587"/>
      <c r="B31" s="596">
        <v>5</v>
      </c>
      <c r="C31" s="589"/>
      <c r="D31" s="589"/>
      <c r="E31" s="589"/>
      <c r="F31" s="590"/>
      <c r="G31" s="590"/>
      <c r="H31" s="591"/>
      <c r="I31" s="592"/>
      <c r="J31" s="591"/>
      <c r="K31" s="593"/>
      <c r="L31" s="593"/>
      <c r="M31" s="593"/>
      <c r="N31" s="594"/>
      <c r="O31" s="593"/>
      <c r="P31" s="595"/>
      <c r="Q31" s="595"/>
      <c r="R31" s="595"/>
      <c r="S31" s="594"/>
      <c r="T31" s="1478"/>
      <c r="U31" s="1479"/>
      <c r="V31" s="1479"/>
      <c r="W31" s="1479"/>
      <c r="X31" s="1479"/>
      <c r="Y31" s="1479"/>
      <c r="Z31" s="1480"/>
    </row>
    <row r="32" spans="1:26" ht="12.75">
      <c r="A32" s="587"/>
      <c r="B32" s="596">
        <v>6</v>
      </c>
      <c r="C32" s="589"/>
      <c r="D32" s="589"/>
      <c r="E32" s="589"/>
      <c r="F32" s="590"/>
      <c r="G32" s="590"/>
      <c r="H32" s="591"/>
      <c r="I32" s="592"/>
      <c r="J32" s="591"/>
      <c r="K32" s="593"/>
      <c r="L32" s="593"/>
      <c r="M32" s="593"/>
      <c r="N32" s="594"/>
      <c r="O32" s="593"/>
      <c r="P32" s="595"/>
      <c r="Q32" s="595"/>
      <c r="R32" s="595"/>
      <c r="S32" s="594"/>
      <c r="T32" s="1478"/>
      <c r="U32" s="1479"/>
      <c r="V32" s="1479"/>
      <c r="W32" s="1479"/>
      <c r="X32" s="1479"/>
      <c r="Y32" s="1479"/>
      <c r="Z32" s="1480"/>
    </row>
    <row r="33" spans="1:26" ht="12.75">
      <c r="A33" s="587"/>
      <c r="B33" s="596">
        <v>7</v>
      </c>
      <c r="C33" s="589"/>
      <c r="D33" s="589"/>
      <c r="E33" s="589"/>
      <c r="F33" s="590"/>
      <c r="G33" s="590"/>
      <c r="H33" s="591"/>
      <c r="I33" s="592"/>
      <c r="J33" s="591"/>
      <c r="K33" s="593"/>
      <c r="L33" s="593"/>
      <c r="M33" s="593"/>
      <c r="N33" s="594"/>
      <c r="O33" s="593"/>
      <c r="P33" s="595"/>
      <c r="Q33" s="595"/>
      <c r="R33" s="595"/>
      <c r="S33" s="594"/>
      <c r="T33" s="1478"/>
      <c r="U33" s="1479"/>
      <c r="V33" s="1479"/>
      <c r="W33" s="1479"/>
      <c r="X33" s="1479"/>
      <c r="Y33" s="1479"/>
      <c r="Z33" s="1480"/>
    </row>
    <row r="34" spans="1:26" ht="12.75">
      <c r="A34" s="587"/>
      <c r="B34" s="596">
        <v>8</v>
      </c>
      <c r="C34" s="589"/>
      <c r="D34" s="589"/>
      <c r="E34" s="589"/>
      <c r="F34" s="590"/>
      <c r="G34" s="590"/>
      <c r="H34" s="591"/>
      <c r="I34" s="592"/>
      <c r="J34" s="591"/>
      <c r="K34" s="593"/>
      <c r="L34" s="593"/>
      <c r="M34" s="593"/>
      <c r="N34" s="594"/>
      <c r="O34" s="593"/>
      <c r="P34" s="595"/>
      <c r="Q34" s="595"/>
      <c r="R34" s="595"/>
      <c r="S34" s="594"/>
      <c r="T34" s="1478"/>
      <c r="U34" s="1479"/>
      <c r="V34" s="1479"/>
      <c r="W34" s="1479"/>
      <c r="X34" s="1479"/>
      <c r="Y34" s="1479"/>
      <c r="Z34" s="1480"/>
    </row>
    <row r="35" spans="1:26" ht="12.75">
      <c r="A35" s="587"/>
      <c r="B35" s="596">
        <v>9</v>
      </c>
      <c r="C35" s="589"/>
      <c r="D35" s="589"/>
      <c r="E35" s="589"/>
      <c r="F35" s="590"/>
      <c r="G35" s="590"/>
      <c r="H35" s="591"/>
      <c r="I35" s="592"/>
      <c r="J35" s="591"/>
      <c r="K35" s="593"/>
      <c r="L35" s="593"/>
      <c r="M35" s="593"/>
      <c r="N35" s="594"/>
      <c r="O35" s="593"/>
      <c r="P35" s="595"/>
      <c r="Q35" s="595"/>
      <c r="R35" s="595"/>
      <c r="S35" s="594"/>
      <c r="T35" s="1478"/>
      <c r="U35" s="1479"/>
      <c r="V35" s="1479"/>
      <c r="W35" s="1479"/>
      <c r="X35" s="1479"/>
      <c r="Y35" s="1479"/>
      <c r="Z35" s="1480"/>
    </row>
    <row r="36" spans="1:26" ht="12.75">
      <c r="A36" s="587"/>
      <c r="B36" s="596">
        <v>10</v>
      </c>
      <c r="C36" s="589"/>
      <c r="D36" s="589"/>
      <c r="E36" s="589"/>
      <c r="F36" s="590"/>
      <c r="G36" s="590"/>
      <c r="H36" s="591"/>
      <c r="I36" s="592"/>
      <c r="J36" s="591"/>
      <c r="K36" s="593"/>
      <c r="L36" s="593"/>
      <c r="M36" s="593"/>
      <c r="N36" s="594"/>
      <c r="O36" s="593"/>
      <c r="P36" s="595"/>
      <c r="Q36" s="595"/>
      <c r="R36" s="595"/>
      <c r="S36" s="594"/>
      <c r="T36" s="1478"/>
      <c r="U36" s="1479"/>
      <c r="V36" s="1479"/>
      <c r="W36" s="1479"/>
      <c r="X36" s="1479"/>
      <c r="Y36" s="1479"/>
      <c r="Z36" s="1480"/>
    </row>
    <row r="37" spans="1:26" ht="12.75">
      <c r="A37" s="587"/>
      <c r="B37" s="596">
        <v>11</v>
      </c>
      <c r="C37" s="589"/>
      <c r="D37" s="589"/>
      <c r="E37" s="589"/>
      <c r="F37" s="590"/>
      <c r="G37" s="590"/>
      <c r="H37" s="591"/>
      <c r="I37" s="592"/>
      <c r="J37" s="591"/>
      <c r="K37" s="593"/>
      <c r="L37" s="593"/>
      <c r="M37" s="593"/>
      <c r="N37" s="594"/>
      <c r="O37" s="593"/>
      <c r="P37" s="595"/>
      <c r="Q37" s="595"/>
      <c r="R37" s="595"/>
      <c r="S37" s="594"/>
      <c r="T37" s="1478"/>
      <c r="U37" s="1479"/>
      <c r="V37" s="1479"/>
      <c r="W37" s="1479"/>
      <c r="X37" s="1479"/>
      <c r="Y37" s="1479"/>
      <c r="Z37" s="1480"/>
    </row>
    <row r="38" spans="1:26" ht="12.75">
      <c r="A38" s="587"/>
      <c r="B38" s="596">
        <v>12</v>
      </c>
      <c r="C38" s="589"/>
      <c r="D38" s="589"/>
      <c r="E38" s="589"/>
      <c r="F38" s="590"/>
      <c r="G38" s="590"/>
      <c r="H38" s="591"/>
      <c r="I38" s="592"/>
      <c r="J38" s="591"/>
      <c r="K38" s="593"/>
      <c r="L38" s="593"/>
      <c r="M38" s="593"/>
      <c r="N38" s="594"/>
      <c r="O38" s="593"/>
      <c r="P38" s="595"/>
      <c r="Q38" s="595"/>
      <c r="R38" s="595"/>
      <c r="S38" s="594"/>
      <c r="T38" s="1478"/>
      <c r="U38" s="1479"/>
      <c r="V38" s="1479"/>
      <c r="W38" s="1479"/>
      <c r="X38" s="1479"/>
      <c r="Y38" s="1479"/>
      <c r="Z38" s="1480"/>
    </row>
    <row r="39" spans="1:26" ht="12.75">
      <c r="A39" s="587"/>
      <c r="B39" s="596">
        <v>13</v>
      </c>
      <c r="C39" s="589"/>
      <c r="D39" s="589"/>
      <c r="E39" s="589"/>
      <c r="F39" s="590"/>
      <c r="G39" s="590"/>
      <c r="H39" s="591"/>
      <c r="I39" s="592"/>
      <c r="J39" s="591"/>
      <c r="K39" s="593"/>
      <c r="L39" s="593"/>
      <c r="M39" s="593"/>
      <c r="N39" s="594"/>
      <c r="O39" s="593"/>
      <c r="P39" s="595"/>
      <c r="Q39" s="595"/>
      <c r="R39" s="595"/>
      <c r="S39" s="594"/>
      <c r="T39" s="1478"/>
      <c r="U39" s="1479"/>
      <c r="V39" s="1479"/>
      <c r="W39" s="1479"/>
      <c r="X39" s="1479"/>
      <c r="Y39" s="1479"/>
      <c r="Z39" s="1480"/>
    </row>
    <row r="40" spans="1:26" ht="12.75">
      <c r="A40" s="587"/>
      <c r="B40" s="596">
        <v>14</v>
      </c>
      <c r="C40" s="589"/>
      <c r="D40" s="589"/>
      <c r="E40" s="589"/>
      <c r="F40" s="590"/>
      <c r="G40" s="590"/>
      <c r="H40" s="591"/>
      <c r="I40" s="592"/>
      <c r="J40" s="591"/>
      <c r="K40" s="593"/>
      <c r="L40" s="593"/>
      <c r="M40" s="593"/>
      <c r="N40" s="594"/>
      <c r="O40" s="593"/>
      <c r="P40" s="595"/>
      <c r="Q40" s="595"/>
      <c r="R40" s="595"/>
      <c r="S40" s="594"/>
      <c r="T40" s="1478"/>
      <c r="U40" s="1479"/>
      <c r="V40" s="1479"/>
      <c r="W40" s="1479"/>
      <c r="X40" s="1479"/>
      <c r="Y40" s="1479"/>
      <c r="Z40" s="1480"/>
    </row>
    <row r="41" spans="1:26" ht="12.75">
      <c r="A41" s="587"/>
      <c r="B41" s="596">
        <v>15</v>
      </c>
      <c r="C41" s="589"/>
      <c r="D41" s="589"/>
      <c r="E41" s="589"/>
      <c r="F41" s="590"/>
      <c r="G41" s="590"/>
      <c r="H41" s="591"/>
      <c r="I41" s="592"/>
      <c r="J41" s="591"/>
      <c r="K41" s="593"/>
      <c r="L41" s="593"/>
      <c r="M41" s="593"/>
      <c r="N41" s="594"/>
      <c r="O41" s="593"/>
      <c r="P41" s="595"/>
      <c r="Q41" s="595"/>
      <c r="R41" s="595"/>
      <c r="S41" s="594"/>
      <c r="T41" s="1478"/>
      <c r="U41" s="1479"/>
      <c r="V41" s="1479"/>
      <c r="W41" s="1479"/>
      <c r="X41" s="1479"/>
      <c r="Y41" s="1479"/>
      <c r="Z41" s="1480"/>
    </row>
    <row r="42" spans="1:26" ht="12.75">
      <c r="A42" s="587"/>
      <c r="B42" s="596">
        <v>16</v>
      </c>
      <c r="C42" s="589"/>
      <c r="D42" s="589"/>
      <c r="E42" s="589"/>
      <c r="F42" s="590"/>
      <c r="G42" s="590"/>
      <c r="H42" s="591"/>
      <c r="I42" s="592"/>
      <c r="J42" s="591"/>
      <c r="K42" s="593"/>
      <c r="L42" s="593"/>
      <c r="M42" s="593"/>
      <c r="N42" s="594"/>
      <c r="O42" s="593"/>
      <c r="P42" s="595"/>
      <c r="Q42" s="595"/>
      <c r="R42" s="595"/>
      <c r="S42" s="594"/>
      <c r="T42" s="1478"/>
      <c r="U42" s="1479"/>
      <c r="V42" s="1479"/>
      <c r="W42" s="1479"/>
      <c r="X42" s="1479"/>
      <c r="Y42" s="1479"/>
      <c r="Z42" s="1480"/>
    </row>
    <row r="43" spans="1:26" ht="12.75">
      <c r="A43" s="587"/>
      <c r="B43" s="596">
        <v>17</v>
      </c>
      <c r="C43" s="589"/>
      <c r="D43" s="589"/>
      <c r="E43" s="589"/>
      <c r="F43" s="590"/>
      <c r="G43" s="590"/>
      <c r="H43" s="591"/>
      <c r="I43" s="592"/>
      <c r="J43" s="591"/>
      <c r="K43" s="593"/>
      <c r="L43" s="593"/>
      <c r="M43" s="593"/>
      <c r="N43" s="594"/>
      <c r="O43" s="593"/>
      <c r="P43" s="595"/>
      <c r="Q43" s="595"/>
      <c r="R43" s="595"/>
      <c r="S43" s="594"/>
      <c r="T43" s="1478"/>
      <c r="U43" s="1479"/>
      <c r="V43" s="1479"/>
      <c r="W43" s="1479"/>
      <c r="X43" s="1479"/>
      <c r="Y43" s="1479"/>
      <c r="Z43" s="1480"/>
    </row>
    <row r="44" spans="1:26" ht="12.75">
      <c r="A44" s="587"/>
      <c r="B44" s="596">
        <v>18</v>
      </c>
      <c r="C44" s="589"/>
      <c r="D44" s="589"/>
      <c r="E44" s="589"/>
      <c r="F44" s="590"/>
      <c r="G44" s="590"/>
      <c r="H44" s="591"/>
      <c r="I44" s="592">
        <v>0</v>
      </c>
      <c r="J44" s="591"/>
      <c r="K44" s="593"/>
      <c r="L44" s="593"/>
      <c r="M44" s="593"/>
      <c r="N44" s="594"/>
      <c r="O44" s="593"/>
      <c r="P44" s="595"/>
      <c r="Q44" s="595"/>
      <c r="R44" s="595"/>
      <c r="S44" s="594"/>
      <c r="T44" s="1478"/>
      <c r="U44" s="1479"/>
      <c r="V44" s="1479"/>
      <c r="W44" s="1479"/>
      <c r="X44" s="1479"/>
      <c r="Y44" s="1479"/>
      <c r="Z44" s="1480"/>
    </row>
    <row r="45" spans="1:26" ht="12.75">
      <c r="A45" s="587"/>
      <c r="B45" s="596">
        <v>19</v>
      </c>
      <c r="C45" s="589"/>
      <c r="D45" s="589"/>
      <c r="E45" s="589"/>
      <c r="F45" s="590"/>
      <c r="G45" s="590"/>
      <c r="H45" s="591"/>
      <c r="I45" s="592">
        <v>0</v>
      </c>
      <c r="J45" s="591"/>
      <c r="K45" s="593"/>
      <c r="L45" s="593"/>
      <c r="M45" s="593"/>
      <c r="N45" s="594"/>
      <c r="O45" s="593"/>
      <c r="P45" s="595"/>
      <c r="Q45" s="595"/>
      <c r="R45" s="595"/>
      <c r="S45" s="594"/>
      <c r="T45" s="1478"/>
      <c r="U45" s="1479"/>
      <c r="V45" s="1479"/>
      <c r="W45" s="1479"/>
      <c r="X45" s="1479"/>
      <c r="Y45" s="1479"/>
      <c r="Z45" s="1480"/>
    </row>
    <row r="46" spans="1:26" ht="12.75">
      <c r="A46" s="587"/>
      <c r="B46" s="596">
        <v>20</v>
      </c>
      <c r="C46" s="597"/>
      <c r="D46" s="597"/>
      <c r="E46" s="597"/>
      <c r="F46" s="598"/>
      <c r="G46" s="598"/>
      <c r="H46" s="599"/>
      <c r="I46" s="600">
        <v>0</v>
      </c>
      <c r="J46" s="599"/>
      <c r="K46" s="601"/>
      <c r="L46" s="601"/>
      <c r="M46" s="601"/>
      <c r="N46" s="602"/>
      <c r="O46" s="601"/>
      <c r="P46" s="603"/>
      <c r="Q46" s="603"/>
      <c r="R46" s="603"/>
      <c r="S46" s="602"/>
      <c r="T46" s="1481"/>
      <c r="U46" s="1482"/>
      <c r="V46" s="1482"/>
      <c r="W46" s="1482"/>
      <c r="X46" s="1482"/>
      <c r="Y46" s="1482"/>
      <c r="Z46" s="1483"/>
    </row>
    <row r="47" spans="1:26" ht="13.5" thickBot="1">
      <c r="A47" s="587"/>
      <c r="B47" s="604"/>
      <c r="C47" s="605" t="s">
        <v>757</v>
      </c>
      <c r="D47" s="606"/>
      <c r="E47" s="606"/>
      <c r="F47" s="606"/>
      <c r="G47" s="607"/>
      <c r="H47" s="608"/>
      <c r="I47" s="609"/>
      <c r="J47" s="610"/>
      <c r="K47" s="610"/>
      <c r="L47" s="610"/>
      <c r="M47" s="610"/>
      <c r="N47" s="611"/>
      <c r="O47" s="612"/>
      <c r="P47" s="610"/>
      <c r="Q47" s="613"/>
      <c r="R47" s="613"/>
      <c r="S47" s="614"/>
      <c r="T47" s="615"/>
      <c r="U47" s="616"/>
      <c r="V47" s="616"/>
      <c r="W47" s="616"/>
      <c r="X47" s="616"/>
      <c r="Y47" s="616"/>
      <c r="Z47" s="617"/>
    </row>
  </sheetData>
  <sheetProtection/>
  <mergeCells count="22">
    <mergeCell ref="T29:Z29"/>
    <mergeCell ref="T30:Z30"/>
    <mergeCell ref="T31:Z31"/>
    <mergeCell ref="T32:Z32"/>
    <mergeCell ref="T25:Z25"/>
    <mergeCell ref="T26:Z26"/>
    <mergeCell ref="T27:Z27"/>
    <mergeCell ref="T28:Z28"/>
    <mergeCell ref="T37:Z37"/>
    <mergeCell ref="T38:Z38"/>
    <mergeCell ref="T39:Z39"/>
    <mergeCell ref="T40:Z40"/>
    <mergeCell ref="T33:Z33"/>
    <mergeCell ref="T34:Z34"/>
    <mergeCell ref="T35:Z35"/>
    <mergeCell ref="T36:Z36"/>
    <mergeCell ref="T45:Z45"/>
    <mergeCell ref="T46:Z46"/>
    <mergeCell ref="T41:Z41"/>
    <mergeCell ref="T42:Z42"/>
    <mergeCell ref="T43:Z43"/>
    <mergeCell ref="T44:Z44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8" sqref="B8:S3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5" t="s">
        <v>415</v>
      </c>
      <c r="F1" s="389" t="s">
        <v>776</v>
      </c>
    </row>
    <row r="2" ht="12.75">
      <c r="A2" s="385"/>
    </row>
    <row r="3" ht="12.75">
      <c r="A3" s="385" t="s">
        <v>240</v>
      </c>
    </row>
    <row r="6" spans="2:19" ht="12.75">
      <c r="B6" s="481" t="s">
        <v>241</v>
      </c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</row>
    <row r="7" spans="2:19" ht="13.5" thickBot="1"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</row>
    <row r="8" spans="2:19" ht="12.75">
      <c r="B8" s="627"/>
      <c r="C8" s="628"/>
      <c r="D8" s="629" t="s">
        <v>242</v>
      </c>
      <c r="E8" s="630"/>
      <c r="F8" s="631"/>
      <c r="G8" s="629" t="s">
        <v>115</v>
      </c>
      <c r="H8" s="630"/>
      <c r="I8" s="631"/>
      <c r="J8" s="626"/>
      <c r="K8" s="626"/>
      <c r="L8" s="626"/>
      <c r="M8" s="626"/>
      <c r="N8" s="626"/>
      <c r="O8" s="626"/>
      <c r="P8" s="626"/>
      <c r="Q8" s="626"/>
      <c r="R8" s="626"/>
      <c r="S8" s="626"/>
    </row>
    <row r="9" spans="2:19" ht="12.75">
      <c r="B9" s="632"/>
      <c r="C9" s="633"/>
      <c r="D9" s="634" t="s">
        <v>754</v>
      </c>
      <c r="E9" s="635" t="s">
        <v>756</v>
      </c>
      <c r="F9" s="636" t="s">
        <v>750</v>
      </c>
      <c r="G9" s="634" t="s">
        <v>754</v>
      </c>
      <c r="H9" s="635" t="s">
        <v>756</v>
      </c>
      <c r="I9" s="636" t="s">
        <v>750</v>
      </c>
      <c r="J9" s="626"/>
      <c r="K9" s="626"/>
      <c r="L9" s="626"/>
      <c r="M9" s="626"/>
      <c r="N9" s="626"/>
      <c r="O9" s="626"/>
      <c r="P9" s="626"/>
      <c r="Q9" s="626"/>
      <c r="R9" s="626"/>
      <c r="S9" s="626"/>
    </row>
    <row r="10" spans="2:19" ht="12.75">
      <c r="B10" s="637" t="s">
        <v>330</v>
      </c>
      <c r="C10" s="638"/>
      <c r="D10" s="639">
        <v>62</v>
      </c>
      <c r="E10" s="640">
        <v>324</v>
      </c>
      <c r="F10" s="641">
        <v>307</v>
      </c>
      <c r="G10" s="639">
        <v>62</v>
      </c>
      <c r="H10" s="640">
        <v>324</v>
      </c>
      <c r="I10" s="641">
        <v>307</v>
      </c>
      <c r="J10" s="626"/>
      <c r="K10" s="626"/>
      <c r="L10" s="626"/>
      <c r="M10" s="626"/>
      <c r="N10" s="626"/>
      <c r="O10" s="626"/>
      <c r="P10" s="626"/>
      <c r="Q10" s="626"/>
      <c r="R10" s="626"/>
      <c r="S10" s="626"/>
    </row>
    <row r="11" spans="2:19" ht="12.75">
      <c r="B11" s="637" t="s">
        <v>207</v>
      </c>
      <c r="C11" s="638"/>
      <c r="D11" s="642">
        <v>1</v>
      </c>
      <c r="E11" s="643">
        <v>7</v>
      </c>
      <c r="F11" s="644">
        <v>4</v>
      </c>
      <c r="G11" s="642">
        <v>1</v>
      </c>
      <c r="H11" s="643">
        <v>7</v>
      </c>
      <c r="I11" s="644">
        <v>4</v>
      </c>
      <c r="J11" s="626"/>
      <c r="K11" s="626"/>
      <c r="L11" s="626"/>
      <c r="M11" s="626"/>
      <c r="N11" s="626"/>
      <c r="O11" s="626"/>
      <c r="P11" s="626"/>
      <c r="Q11" s="626"/>
      <c r="R11" s="626"/>
      <c r="S11" s="626"/>
    </row>
    <row r="12" spans="2:19" ht="13.5" thickBot="1">
      <c r="B12" s="645" t="s">
        <v>199</v>
      </c>
      <c r="C12" s="646"/>
      <c r="D12" s="647">
        <v>0</v>
      </c>
      <c r="E12" s="648">
        <v>2</v>
      </c>
      <c r="F12" s="649">
        <v>1</v>
      </c>
      <c r="G12" s="647">
        <v>0</v>
      </c>
      <c r="H12" s="648">
        <v>2</v>
      </c>
      <c r="I12" s="649">
        <v>1</v>
      </c>
      <c r="J12" s="626"/>
      <c r="K12" s="626"/>
      <c r="L12" s="626"/>
      <c r="M12" s="626"/>
      <c r="N12" s="626"/>
      <c r="O12" s="626"/>
      <c r="P12" s="626"/>
      <c r="Q12" s="626"/>
      <c r="R12" s="626"/>
      <c r="S12" s="626"/>
    </row>
    <row r="13" spans="2:19" ht="12.75"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</row>
    <row r="14" spans="2:19" ht="12.75">
      <c r="B14" s="481" t="s">
        <v>200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</row>
    <row r="15" spans="2:19" ht="13.5" thickBot="1"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</row>
    <row r="16" spans="2:19" ht="12.75">
      <c r="B16" s="627" t="s">
        <v>234</v>
      </c>
      <c r="C16" s="628"/>
      <c r="D16" s="629" t="s">
        <v>547</v>
      </c>
      <c r="E16" s="630"/>
      <c r="F16" s="631"/>
      <c r="G16" s="629" t="s">
        <v>548</v>
      </c>
      <c r="H16" s="630"/>
      <c r="I16" s="631"/>
      <c r="J16" s="626"/>
      <c r="K16" s="626"/>
      <c r="L16" s="626"/>
      <c r="M16" s="626"/>
      <c r="N16" s="626"/>
      <c r="O16" s="626"/>
      <c r="P16" s="626"/>
      <c r="Q16" s="626"/>
      <c r="R16" s="626"/>
      <c r="S16" s="626"/>
    </row>
    <row r="17" spans="2:19" ht="12.75">
      <c r="B17" s="632"/>
      <c r="C17" s="633"/>
      <c r="D17" s="634" t="s">
        <v>754</v>
      </c>
      <c r="E17" s="635" t="s">
        <v>756</v>
      </c>
      <c r="F17" s="636" t="s">
        <v>750</v>
      </c>
      <c r="G17" s="634" t="s">
        <v>754</v>
      </c>
      <c r="H17" s="635" t="s">
        <v>756</v>
      </c>
      <c r="I17" s="636" t="s">
        <v>750</v>
      </c>
      <c r="J17" s="626"/>
      <c r="K17" s="626"/>
      <c r="L17" s="626"/>
      <c r="M17" s="626"/>
      <c r="N17" s="626"/>
      <c r="O17" s="626"/>
      <c r="P17" s="626"/>
      <c r="Q17" s="626"/>
      <c r="R17" s="626"/>
      <c r="S17" s="626"/>
    </row>
    <row r="18" spans="2:19" ht="12.75">
      <c r="B18" s="637" t="s">
        <v>235</v>
      </c>
      <c r="C18" s="650"/>
      <c r="D18" s="642">
        <v>0</v>
      </c>
      <c r="E18" s="643">
        <v>0</v>
      </c>
      <c r="F18" s="651">
        <v>0</v>
      </c>
      <c r="G18" s="642">
        <v>0</v>
      </c>
      <c r="H18" s="643">
        <v>1</v>
      </c>
      <c r="I18" s="651">
        <v>0</v>
      </c>
      <c r="J18" s="626"/>
      <c r="K18" s="626"/>
      <c r="L18" s="626"/>
      <c r="M18" s="626"/>
      <c r="N18" s="626"/>
      <c r="O18" s="626"/>
      <c r="P18" s="626"/>
      <c r="Q18" s="626"/>
      <c r="R18" s="626"/>
      <c r="S18" s="626"/>
    </row>
    <row r="19" spans="2:19" ht="12.75">
      <c r="B19" s="637" t="s">
        <v>371</v>
      </c>
      <c r="C19" s="650"/>
      <c r="D19" s="642">
        <v>0</v>
      </c>
      <c r="E19" s="643">
        <v>0</v>
      </c>
      <c r="F19" s="651">
        <v>0</v>
      </c>
      <c r="G19" s="642">
        <v>0</v>
      </c>
      <c r="H19" s="643">
        <v>0</v>
      </c>
      <c r="I19" s="651">
        <v>0</v>
      </c>
      <c r="J19" s="626"/>
      <c r="K19" s="626"/>
      <c r="L19" s="626"/>
      <c r="M19" s="626"/>
      <c r="N19" s="626"/>
      <c r="O19" s="626"/>
      <c r="P19" s="626"/>
      <c r="Q19" s="626"/>
      <c r="R19" s="626"/>
      <c r="S19" s="626"/>
    </row>
    <row r="20" spans="2:19" ht="13.5" thickBot="1">
      <c r="B20" s="645" t="s">
        <v>372</v>
      </c>
      <c r="C20" s="646"/>
      <c r="D20" s="647">
        <v>0</v>
      </c>
      <c r="E20" s="652">
        <v>0</v>
      </c>
      <c r="F20" s="649">
        <v>0</v>
      </c>
      <c r="G20" s="647">
        <v>0</v>
      </c>
      <c r="H20" s="652">
        <v>0</v>
      </c>
      <c r="I20" s="649">
        <v>0</v>
      </c>
      <c r="J20" s="626"/>
      <c r="K20" s="626"/>
      <c r="L20" s="626"/>
      <c r="M20" s="626"/>
      <c r="N20" s="626"/>
      <c r="O20" s="626"/>
      <c r="P20" s="626"/>
      <c r="Q20" s="626"/>
      <c r="R20" s="626"/>
      <c r="S20" s="626"/>
    </row>
    <row r="21" spans="2:19" ht="12.75"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</row>
    <row r="22" spans="2:19" ht="12.75">
      <c r="B22" s="481" t="s">
        <v>373</v>
      </c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</row>
    <row r="23" spans="2:19" ht="13.5" thickBot="1">
      <c r="B23" s="481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</row>
    <row r="24" spans="2:19" ht="12.75">
      <c r="B24" s="653"/>
      <c r="C24" s="485" t="s">
        <v>547</v>
      </c>
      <c r="D24" s="486"/>
      <c r="E24" s="486"/>
      <c r="F24" s="486"/>
      <c r="G24" s="654"/>
      <c r="H24" s="485" t="s">
        <v>548</v>
      </c>
      <c r="I24" s="655"/>
      <c r="J24" s="655"/>
      <c r="K24" s="655"/>
      <c r="L24" s="654"/>
      <c r="M24" s="656"/>
      <c r="N24" s="489" t="s">
        <v>547</v>
      </c>
      <c r="O24" s="490"/>
      <c r="P24" s="491"/>
      <c r="Q24" s="656"/>
      <c r="R24" s="489" t="s">
        <v>548</v>
      </c>
      <c r="S24" s="491"/>
    </row>
    <row r="25" spans="2:19" ht="25.5">
      <c r="B25" s="524"/>
      <c r="C25" s="493" t="s">
        <v>742</v>
      </c>
      <c r="D25" s="494" t="s">
        <v>743</v>
      </c>
      <c r="E25" s="494" t="s">
        <v>739</v>
      </c>
      <c r="F25" s="494" t="s">
        <v>609</v>
      </c>
      <c r="G25" s="495" t="s">
        <v>610</v>
      </c>
      <c r="H25" s="493" t="s">
        <v>549</v>
      </c>
      <c r="I25" s="494" t="s">
        <v>706</v>
      </c>
      <c r="J25" s="494" t="s">
        <v>707</v>
      </c>
      <c r="K25" s="494" t="s">
        <v>708</v>
      </c>
      <c r="L25" s="495" t="s">
        <v>709</v>
      </c>
      <c r="M25" s="656"/>
      <c r="N25" s="493" t="s">
        <v>690</v>
      </c>
      <c r="O25" s="494" t="s">
        <v>691</v>
      </c>
      <c r="P25" s="495" t="s">
        <v>757</v>
      </c>
      <c r="Q25" s="656"/>
      <c r="R25" s="493" t="s">
        <v>691</v>
      </c>
      <c r="S25" s="495" t="s">
        <v>692</v>
      </c>
    </row>
    <row r="26" spans="2:19" ht="12.75">
      <c r="B26" s="657"/>
      <c r="C26" s="555" t="s">
        <v>467</v>
      </c>
      <c r="D26" s="556" t="s">
        <v>467</v>
      </c>
      <c r="E26" s="556" t="s">
        <v>467</v>
      </c>
      <c r="F26" s="556" t="s">
        <v>467</v>
      </c>
      <c r="G26" s="557" t="s">
        <v>467</v>
      </c>
      <c r="H26" s="555" t="s">
        <v>467</v>
      </c>
      <c r="I26" s="556" t="s">
        <v>467</v>
      </c>
      <c r="J26" s="556" t="s">
        <v>467</v>
      </c>
      <c r="K26" s="556" t="s">
        <v>467</v>
      </c>
      <c r="L26" s="557" t="s">
        <v>467</v>
      </c>
      <c r="M26" s="658"/>
      <c r="N26" s="555" t="s">
        <v>467</v>
      </c>
      <c r="O26" s="556" t="s">
        <v>467</v>
      </c>
      <c r="P26" s="557" t="s">
        <v>467</v>
      </c>
      <c r="Q26" s="658"/>
      <c r="R26" s="555" t="s">
        <v>467</v>
      </c>
      <c r="S26" s="557" t="s">
        <v>467</v>
      </c>
    </row>
    <row r="27" spans="2:19" ht="12.75">
      <c r="B27" s="525" t="s">
        <v>468</v>
      </c>
      <c r="C27" s="659"/>
      <c r="D27" s="660"/>
      <c r="E27" s="660"/>
      <c r="F27" s="660"/>
      <c r="G27" s="661"/>
      <c r="H27" s="659"/>
      <c r="I27" s="660"/>
      <c r="J27" s="660"/>
      <c r="K27" s="660"/>
      <c r="L27" s="661"/>
      <c r="M27" s="658"/>
      <c r="N27" s="659"/>
      <c r="O27" s="662"/>
      <c r="P27" s="663"/>
      <c r="Q27" s="658"/>
      <c r="R27" s="659"/>
      <c r="S27" s="563"/>
    </row>
    <row r="28" spans="2:19" ht="12.75">
      <c r="B28" s="664" t="s">
        <v>469</v>
      </c>
      <c r="C28" s="466">
        <v>0</v>
      </c>
      <c r="D28" s="467">
        <v>0</v>
      </c>
      <c r="E28" s="467">
        <v>0</v>
      </c>
      <c r="F28" s="467">
        <v>0</v>
      </c>
      <c r="G28" s="468">
        <v>0</v>
      </c>
      <c r="H28" s="466">
        <v>0</v>
      </c>
      <c r="I28" s="469">
        <v>0</v>
      </c>
      <c r="J28" s="469">
        <v>0</v>
      </c>
      <c r="K28" s="469">
        <v>0</v>
      </c>
      <c r="L28" s="468">
        <v>0</v>
      </c>
      <c r="M28" s="656"/>
      <c r="N28" s="665">
        <v>0</v>
      </c>
      <c r="O28" s="666">
        <v>0</v>
      </c>
      <c r="P28" s="667">
        <v>0</v>
      </c>
      <c r="Q28" s="656"/>
      <c r="R28" s="665">
        <v>0</v>
      </c>
      <c r="S28" s="396" t="s">
        <v>28</v>
      </c>
    </row>
    <row r="29" spans="2:19" ht="12.75">
      <c r="B29" s="664" t="s">
        <v>750</v>
      </c>
      <c r="C29" s="466">
        <v>0</v>
      </c>
      <c r="D29" s="467">
        <v>0</v>
      </c>
      <c r="E29" s="467">
        <v>0</v>
      </c>
      <c r="F29" s="467">
        <v>0</v>
      </c>
      <c r="G29" s="468">
        <v>0</v>
      </c>
      <c r="H29" s="466">
        <v>0</v>
      </c>
      <c r="I29" s="469">
        <v>0</v>
      </c>
      <c r="J29" s="469">
        <v>0</v>
      </c>
      <c r="K29" s="469">
        <v>0</v>
      </c>
      <c r="L29" s="468">
        <v>0</v>
      </c>
      <c r="M29" s="656"/>
      <c r="N29" s="665">
        <v>0</v>
      </c>
      <c r="O29" s="666">
        <v>0</v>
      </c>
      <c r="P29" s="667">
        <v>0</v>
      </c>
      <c r="Q29" s="656"/>
      <c r="R29" s="665">
        <v>0</v>
      </c>
      <c r="S29" s="396" t="s">
        <v>28</v>
      </c>
    </row>
    <row r="30" spans="2:19" ht="12.75">
      <c r="B30" s="664" t="s">
        <v>470</v>
      </c>
      <c r="C30" s="466">
        <v>0</v>
      </c>
      <c r="D30" s="467">
        <v>0</v>
      </c>
      <c r="E30" s="467">
        <v>0</v>
      </c>
      <c r="F30" s="467">
        <v>0</v>
      </c>
      <c r="G30" s="468">
        <v>0</v>
      </c>
      <c r="H30" s="466">
        <v>0</v>
      </c>
      <c r="I30" s="469">
        <v>1.6</v>
      </c>
      <c r="J30" s="469">
        <v>1.3</v>
      </c>
      <c r="K30" s="469">
        <v>0</v>
      </c>
      <c r="L30" s="468">
        <v>0</v>
      </c>
      <c r="M30" s="656"/>
      <c r="N30" s="665">
        <v>0</v>
      </c>
      <c r="O30" s="666">
        <v>0</v>
      </c>
      <c r="P30" s="667">
        <v>0</v>
      </c>
      <c r="Q30" s="656"/>
      <c r="R30" s="665">
        <v>2.9</v>
      </c>
      <c r="S30" s="396" t="s">
        <v>28</v>
      </c>
    </row>
    <row r="31" spans="2:19" ht="12.75">
      <c r="B31" s="664" t="s">
        <v>471</v>
      </c>
      <c r="C31" s="466">
        <v>0</v>
      </c>
      <c r="D31" s="467">
        <v>0</v>
      </c>
      <c r="E31" s="467">
        <v>0</v>
      </c>
      <c r="F31" s="467">
        <v>0</v>
      </c>
      <c r="G31" s="468">
        <v>0</v>
      </c>
      <c r="H31" s="466">
        <v>0</v>
      </c>
      <c r="I31" s="469">
        <v>0</v>
      </c>
      <c r="J31" s="469">
        <v>0</v>
      </c>
      <c r="K31" s="469">
        <v>0</v>
      </c>
      <c r="L31" s="468">
        <v>0</v>
      </c>
      <c r="M31" s="656"/>
      <c r="N31" s="665">
        <v>0</v>
      </c>
      <c r="O31" s="666">
        <v>0</v>
      </c>
      <c r="P31" s="667">
        <v>0</v>
      </c>
      <c r="Q31" s="656"/>
      <c r="R31" s="665">
        <v>0</v>
      </c>
      <c r="S31" s="396" t="s">
        <v>28</v>
      </c>
    </row>
    <row r="32" spans="2:19" ht="13.5" thickBot="1">
      <c r="B32" s="530" t="s">
        <v>472</v>
      </c>
      <c r="C32" s="401">
        <v>0</v>
      </c>
      <c r="D32" s="404">
        <v>0</v>
      </c>
      <c r="E32" s="404">
        <v>0</v>
      </c>
      <c r="F32" s="404">
        <v>0</v>
      </c>
      <c r="G32" s="403">
        <v>0</v>
      </c>
      <c r="H32" s="401">
        <v>0</v>
      </c>
      <c r="I32" s="402">
        <v>1.6</v>
      </c>
      <c r="J32" s="402">
        <v>1.3</v>
      </c>
      <c r="K32" s="402">
        <v>0</v>
      </c>
      <c r="L32" s="403">
        <v>0</v>
      </c>
      <c r="M32" s="668"/>
      <c r="N32" s="401">
        <v>0</v>
      </c>
      <c r="O32" s="402">
        <v>0</v>
      </c>
      <c r="P32" s="403">
        <v>0</v>
      </c>
      <c r="Q32" s="668"/>
      <c r="R32" s="401">
        <v>2.9</v>
      </c>
      <c r="S32" s="531" t="s">
        <v>28</v>
      </c>
    </row>
    <row r="33" spans="2:19" ht="12.75"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5"/>
      <c r="N33" s="391"/>
      <c r="O33" s="391"/>
      <c r="P33" s="391"/>
      <c r="Q33" s="395"/>
      <c r="R33" s="391"/>
      <c r="S33" s="391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3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20.421875" style="0" customWidth="1"/>
  </cols>
  <sheetData>
    <row r="1" spans="1:7" ht="12.75">
      <c r="A1" s="385" t="s">
        <v>415</v>
      </c>
      <c r="F1" s="389" t="s">
        <v>776</v>
      </c>
      <c r="G1" t="s">
        <v>416</v>
      </c>
    </row>
    <row r="2" ht="12.75">
      <c r="A2" s="385"/>
    </row>
    <row r="3" ht="12.75">
      <c r="A3" s="385" t="s">
        <v>417</v>
      </c>
    </row>
    <row r="5" spans="2:20" ht="19.5">
      <c r="B5" s="669" t="s">
        <v>543</v>
      </c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395"/>
      <c r="P5" s="395"/>
      <c r="Q5" s="395"/>
      <c r="R5" s="395"/>
      <c r="S5" s="395"/>
      <c r="T5" s="395"/>
    </row>
    <row r="6" spans="2:20" ht="15" thickBot="1"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395"/>
      <c r="O6" s="672"/>
      <c r="P6" s="672"/>
      <c r="Q6" s="672"/>
      <c r="R6" s="395"/>
      <c r="S6" s="672"/>
      <c r="T6" s="672"/>
    </row>
    <row r="7" spans="2:20" ht="15">
      <c r="B7" s="673" t="s">
        <v>544</v>
      </c>
      <c r="C7" s="674"/>
      <c r="D7" s="675" t="s">
        <v>545</v>
      </c>
      <c r="E7" s="676"/>
      <c r="F7" s="676"/>
      <c r="G7" s="676"/>
      <c r="H7" s="677"/>
      <c r="I7" s="675" t="s">
        <v>546</v>
      </c>
      <c r="J7" s="676"/>
      <c r="K7" s="676"/>
      <c r="L7" s="676"/>
      <c r="M7" s="677"/>
      <c r="N7" s="395"/>
      <c r="O7" s="489" t="s">
        <v>547</v>
      </c>
      <c r="P7" s="490"/>
      <c r="Q7" s="491"/>
      <c r="R7" s="395"/>
      <c r="S7" s="489" t="s">
        <v>548</v>
      </c>
      <c r="T7" s="491"/>
    </row>
    <row r="8" spans="2:20" ht="25.5">
      <c r="B8" s="678"/>
      <c r="C8" s="679"/>
      <c r="D8" s="680" t="s">
        <v>742</v>
      </c>
      <c r="E8" s="681" t="s">
        <v>743</v>
      </c>
      <c r="F8" s="681" t="s">
        <v>739</v>
      </c>
      <c r="G8" s="681" t="s">
        <v>609</v>
      </c>
      <c r="H8" s="682" t="s">
        <v>610</v>
      </c>
      <c r="I8" s="680" t="s">
        <v>549</v>
      </c>
      <c r="J8" s="681" t="s">
        <v>706</v>
      </c>
      <c r="K8" s="681" t="s">
        <v>707</v>
      </c>
      <c r="L8" s="681" t="s">
        <v>708</v>
      </c>
      <c r="M8" s="682" t="s">
        <v>709</v>
      </c>
      <c r="N8" s="395"/>
      <c r="O8" s="493" t="s">
        <v>690</v>
      </c>
      <c r="P8" s="494" t="s">
        <v>691</v>
      </c>
      <c r="Q8" s="495" t="s">
        <v>757</v>
      </c>
      <c r="R8" s="395"/>
      <c r="S8" s="493" t="s">
        <v>691</v>
      </c>
      <c r="T8" s="495" t="s">
        <v>692</v>
      </c>
    </row>
    <row r="9" spans="2:20" ht="18">
      <c r="B9" s="683"/>
      <c r="C9" s="684"/>
      <c r="D9" s="680" t="s">
        <v>593</v>
      </c>
      <c r="E9" s="681" t="s">
        <v>593</v>
      </c>
      <c r="F9" s="681" t="s">
        <v>593</v>
      </c>
      <c r="G9" s="681" t="s">
        <v>593</v>
      </c>
      <c r="H9" s="682" t="s">
        <v>593</v>
      </c>
      <c r="I9" s="685" t="s">
        <v>593</v>
      </c>
      <c r="J9" s="681" t="s">
        <v>593</v>
      </c>
      <c r="K9" s="681" t="s">
        <v>593</v>
      </c>
      <c r="L9" s="681" t="s">
        <v>593</v>
      </c>
      <c r="M9" s="682" t="s">
        <v>593</v>
      </c>
      <c r="N9" s="671"/>
      <c r="O9" s="526"/>
      <c r="P9" s="527"/>
      <c r="Q9" s="528"/>
      <c r="R9" s="395"/>
      <c r="S9" s="500"/>
      <c r="T9" s="501"/>
    </row>
    <row r="10" spans="2:20" ht="14.25">
      <c r="B10" s="1497" t="s">
        <v>714</v>
      </c>
      <c r="C10" s="686" t="s">
        <v>715</v>
      </c>
      <c r="D10" s="687">
        <v>1.3</v>
      </c>
      <c r="E10" s="688">
        <v>1.2</v>
      </c>
      <c r="F10" s="688">
        <v>1.7</v>
      </c>
      <c r="G10" s="688">
        <v>1.3897827259207831</v>
      </c>
      <c r="H10" s="689">
        <v>0.9434166352122274</v>
      </c>
      <c r="I10" s="687">
        <v>0.87</v>
      </c>
      <c r="J10" s="688">
        <v>1.23</v>
      </c>
      <c r="K10" s="688">
        <v>1.64</v>
      </c>
      <c r="L10" s="688">
        <v>1.64</v>
      </c>
      <c r="M10" s="689">
        <v>1.64</v>
      </c>
      <c r="N10" s="671"/>
      <c r="O10" s="392">
        <v>4.2</v>
      </c>
      <c r="P10" s="393">
        <v>2.3331993611330106</v>
      </c>
      <c r="Q10" s="394">
        <v>6.533199361133011</v>
      </c>
      <c r="R10" s="395"/>
      <c r="S10" s="392">
        <v>7.02</v>
      </c>
      <c r="T10" s="396">
        <v>0.07451182980318016</v>
      </c>
    </row>
    <row r="11" spans="2:20" ht="14.25">
      <c r="B11" s="1498"/>
      <c r="C11" s="690" t="s">
        <v>672</v>
      </c>
      <c r="D11" s="691">
        <v>1.7</v>
      </c>
      <c r="E11" s="692">
        <v>1.5</v>
      </c>
      <c r="F11" s="692">
        <v>1.1</v>
      </c>
      <c r="G11" s="692">
        <v>1.7696706246476237</v>
      </c>
      <c r="H11" s="693">
        <v>1.8857826951068464</v>
      </c>
      <c r="I11" s="691">
        <v>2.18</v>
      </c>
      <c r="J11" s="692">
        <v>2.27</v>
      </c>
      <c r="K11" s="692">
        <v>2.35</v>
      </c>
      <c r="L11" s="692">
        <v>2.42</v>
      </c>
      <c r="M11" s="693">
        <v>2.48</v>
      </c>
      <c r="N11" s="671"/>
      <c r="O11" s="392">
        <v>4.3</v>
      </c>
      <c r="P11" s="393">
        <v>3.65545331975447</v>
      </c>
      <c r="Q11" s="394">
        <v>7.955453319754471</v>
      </c>
      <c r="R11" s="395"/>
      <c r="S11" s="392">
        <v>11.7</v>
      </c>
      <c r="T11" s="396">
        <v>0.4706892906966485</v>
      </c>
    </row>
    <row r="12" spans="2:20" ht="14.25">
      <c r="B12" s="1498" t="s">
        <v>673</v>
      </c>
      <c r="C12" s="690" t="s">
        <v>715</v>
      </c>
      <c r="D12" s="691">
        <v>0</v>
      </c>
      <c r="E12" s="692">
        <v>0</v>
      </c>
      <c r="F12" s="692">
        <v>0</v>
      </c>
      <c r="G12" s="692">
        <v>0.0429074486165302</v>
      </c>
      <c r="H12" s="693">
        <v>0</v>
      </c>
      <c r="I12" s="691">
        <v>0</v>
      </c>
      <c r="J12" s="692">
        <v>0</v>
      </c>
      <c r="K12" s="692">
        <v>0</v>
      </c>
      <c r="L12" s="692">
        <v>0</v>
      </c>
      <c r="M12" s="693">
        <v>0</v>
      </c>
      <c r="N12" s="671"/>
      <c r="O12" s="392">
        <v>0</v>
      </c>
      <c r="P12" s="393">
        <v>0.0429074486165302</v>
      </c>
      <c r="Q12" s="394">
        <v>0.0429074486165302</v>
      </c>
      <c r="R12" s="395"/>
      <c r="S12" s="392">
        <v>0</v>
      </c>
      <c r="T12" s="396">
        <v>-1</v>
      </c>
    </row>
    <row r="13" spans="2:20" ht="14.25">
      <c r="B13" s="1498"/>
      <c r="C13" s="690" t="s">
        <v>672</v>
      </c>
      <c r="D13" s="691">
        <v>-0.4320719513350796</v>
      </c>
      <c r="E13" s="692">
        <v>-0.31239287588104236</v>
      </c>
      <c r="F13" s="692">
        <v>-0.3</v>
      </c>
      <c r="G13" s="692">
        <v>-0.38543281432700627</v>
      </c>
      <c r="H13" s="693">
        <v>-0.20109607440707422</v>
      </c>
      <c r="I13" s="691">
        <v>-0.3</v>
      </c>
      <c r="J13" s="692">
        <v>-0.3</v>
      </c>
      <c r="K13" s="692">
        <v>-0.3</v>
      </c>
      <c r="L13" s="692">
        <v>-0.3</v>
      </c>
      <c r="M13" s="693">
        <v>-0.3</v>
      </c>
      <c r="N13" s="671"/>
      <c r="O13" s="392">
        <v>-1.0444648272161219</v>
      </c>
      <c r="P13" s="393">
        <v>-0.5865288887340805</v>
      </c>
      <c r="Q13" s="394">
        <v>-1.6309937159502024</v>
      </c>
      <c r="R13" s="395"/>
      <c r="S13" s="392">
        <v>-1.5</v>
      </c>
      <c r="T13" s="396">
        <v>-0.08031527937180714</v>
      </c>
    </row>
    <row r="14" spans="2:20" ht="14.25">
      <c r="B14" s="1494" t="s">
        <v>532</v>
      </c>
      <c r="C14" s="690" t="s">
        <v>693</v>
      </c>
      <c r="D14" s="691">
        <v>3.3</v>
      </c>
      <c r="E14" s="692">
        <v>3.6</v>
      </c>
      <c r="F14" s="692">
        <v>5.3</v>
      </c>
      <c r="G14" s="692">
        <v>4.758540703886898</v>
      </c>
      <c r="H14" s="693">
        <v>4.400833796743651</v>
      </c>
      <c r="I14" s="691">
        <v>4.99</v>
      </c>
      <c r="J14" s="692">
        <v>5.62</v>
      </c>
      <c r="K14" s="692">
        <v>6.42</v>
      </c>
      <c r="L14" s="692">
        <v>7.03</v>
      </c>
      <c r="M14" s="693">
        <v>6.79</v>
      </c>
      <c r="N14" s="671"/>
      <c r="O14" s="392">
        <v>12.2</v>
      </c>
      <c r="P14" s="393">
        <v>9.159374500630548</v>
      </c>
      <c r="Q14" s="394">
        <v>21.359374500630548</v>
      </c>
      <c r="R14" s="395"/>
      <c r="S14" s="392">
        <v>30.85</v>
      </c>
      <c r="T14" s="396">
        <v>0.44433068482830723</v>
      </c>
    </row>
    <row r="15" spans="2:20" ht="14.25">
      <c r="B15" s="1494"/>
      <c r="C15" s="690" t="s">
        <v>566</v>
      </c>
      <c r="D15" s="691">
        <v>2.2</v>
      </c>
      <c r="E15" s="692">
        <v>3</v>
      </c>
      <c r="F15" s="692">
        <v>2.1</v>
      </c>
      <c r="G15" s="692">
        <v>2.1851403100320748</v>
      </c>
      <c r="H15" s="693">
        <v>2.001584680585762</v>
      </c>
      <c r="I15" s="691">
        <v>1.77</v>
      </c>
      <c r="J15" s="692">
        <v>1.96</v>
      </c>
      <c r="K15" s="692">
        <v>2.17</v>
      </c>
      <c r="L15" s="692">
        <v>2.38</v>
      </c>
      <c r="M15" s="693">
        <v>2.61</v>
      </c>
      <c r="N15" s="671"/>
      <c r="O15" s="392">
        <v>7.3</v>
      </c>
      <c r="P15" s="393">
        <v>4.1867249906178365</v>
      </c>
      <c r="Q15" s="394">
        <v>11.486724990617837</v>
      </c>
      <c r="R15" s="395"/>
      <c r="S15" s="392">
        <v>10.89</v>
      </c>
      <c r="T15" s="396">
        <v>-0.05194909698850034</v>
      </c>
    </row>
    <row r="16" spans="2:20" ht="14.25">
      <c r="B16" s="1494"/>
      <c r="C16" s="694" t="s">
        <v>643</v>
      </c>
      <c r="D16" s="691">
        <v>0.2</v>
      </c>
      <c r="E16" s="692">
        <v>0.2</v>
      </c>
      <c r="F16" s="692">
        <v>0</v>
      </c>
      <c r="G16" s="692">
        <v>0.18000197956202912</v>
      </c>
      <c r="H16" s="693">
        <v>0.09350120326713612</v>
      </c>
      <c r="I16" s="691">
        <v>0.53</v>
      </c>
      <c r="J16" s="692">
        <v>0.58</v>
      </c>
      <c r="K16" s="692">
        <v>0.64</v>
      </c>
      <c r="L16" s="692">
        <v>0.7</v>
      </c>
      <c r="M16" s="693">
        <v>0.76</v>
      </c>
      <c r="N16" s="671"/>
      <c r="O16" s="392">
        <v>0.4</v>
      </c>
      <c r="P16" s="393">
        <v>0.27350318282916525</v>
      </c>
      <c r="Q16" s="394">
        <v>0.6735031828291653</v>
      </c>
      <c r="R16" s="395"/>
      <c r="S16" s="392">
        <v>3.21</v>
      </c>
      <c r="T16" s="396">
        <v>3.7661244695471905</v>
      </c>
    </row>
    <row r="17" spans="2:20" ht="14.25">
      <c r="B17" s="1494" t="s">
        <v>750</v>
      </c>
      <c r="C17" s="690" t="s">
        <v>644</v>
      </c>
      <c r="D17" s="691">
        <v>2.5</v>
      </c>
      <c r="E17" s="692">
        <v>6.2</v>
      </c>
      <c r="F17" s="692">
        <v>7.1</v>
      </c>
      <c r="G17" s="692">
        <v>7.4481051659474495</v>
      </c>
      <c r="H17" s="693">
        <v>7.389572872976108</v>
      </c>
      <c r="I17" s="691">
        <v>4.78</v>
      </c>
      <c r="J17" s="692">
        <v>6.78</v>
      </c>
      <c r="K17" s="692">
        <v>8.91</v>
      </c>
      <c r="L17" s="692">
        <v>10.14</v>
      </c>
      <c r="M17" s="693">
        <v>9.65</v>
      </c>
      <c r="N17" s="671"/>
      <c r="O17" s="392">
        <v>15.8</v>
      </c>
      <c r="P17" s="393">
        <v>14.837678038923556</v>
      </c>
      <c r="Q17" s="394">
        <v>30.637678038923557</v>
      </c>
      <c r="R17" s="395"/>
      <c r="S17" s="392">
        <v>40.26</v>
      </c>
      <c r="T17" s="396">
        <v>0.3140682511530994</v>
      </c>
    </row>
    <row r="18" spans="2:20" ht="14.25">
      <c r="B18" s="1494"/>
      <c r="C18" s="690" t="s">
        <v>432</v>
      </c>
      <c r="D18" s="691">
        <v>0.8</v>
      </c>
      <c r="E18" s="692">
        <v>1.1</v>
      </c>
      <c r="F18" s="692">
        <v>1.2</v>
      </c>
      <c r="G18" s="692">
        <v>1.2474555792903415</v>
      </c>
      <c r="H18" s="693">
        <v>0.933961457353753</v>
      </c>
      <c r="I18" s="691">
        <v>1.03</v>
      </c>
      <c r="J18" s="692">
        <v>1.14</v>
      </c>
      <c r="K18" s="692">
        <v>1.26</v>
      </c>
      <c r="L18" s="692">
        <v>1.39</v>
      </c>
      <c r="M18" s="693">
        <v>1.53</v>
      </c>
      <c r="N18" s="671"/>
      <c r="O18" s="392">
        <v>3.1</v>
      </c>
      <c r="P18" s="393">
        <v>2.1814170366440946</v>
      </c>
      <c r="Q18" s="394">
        <v>5.281417036644095</v>
      </c>
      <c r="R18" s="395"/>
      <c r="S18" s="392">
        <v>6.35</v>
      </c>
      <c r="T18" s="396">
        <v>0.20232883635996693</v>
      </c>
    </row>
    <row r="19" spans="2:20" ht="14.25">
      <c r="B19" s="1494"/>
      <c r="C19" s="694" t="s">
        <v>551</v>
      </c>
      <c r="D19" s="691">
        <v>0</v>
      </c>
      <c r="E19" s="692">
        <v>0.1</v>
      </c>
      <c r="F19" s="692">
        <v>0</v>
      </c>
      <c r="G19" s="692">
        <v>0</v>
      </c>
      <c r="H19" s="693">
        <v>0</v>
      </c>
      <c r="I19" s="691">
        <v>0.05</v>
      </c>
      <c r="J19" s="692">
        <v>0.05</v>
      </c>
      <c r="K19" s="692">
        <v>0.05</v>
      </c>
      <c r="L19" s="692">
        <v>0.05</v>
      </c>
      <c r="M19" s="693">
        <v>0.05</v>
      </c>
      <c r="N19" s="671"/>
      <c r="O19" s="392">
        <v>0.1</v>
      </c>
      <c r="P19" s="393">
        <v>0</v>
      </c>
      <c r="Q19" s="394">
        <v>0.1</v>
      </c>
      <c r="R19" s="395"/>
      <c r="S19" s="392">
        <v>0.25</v>
      </c>
      <c r="T19" s="396">
        <v>1.5</v>
      </c>
    </row>
    <row r="20" spans="2:20" ht="14.25">
      <c r="B20" s="1494"/>
      <c r="C20" s="694" t="s">
        <v>643</v>
      </c>
      <c r="D20" s="691">
        <v>1.7</v>
      </c>
      <c r="E20" s="692">
        <v>2.5</v>
      </c>
      <c r="F20" s="692">
        <v>2.6</v>
      </c>
      <c r="G20" s="692">
        <v>2.464561987608015</v>
      </c>
      <c r="H20" s="693">
        <v>4.073518838485835</v>
      </c>
      <c r="I20" s="691">
        <v>3.98</v>
      </c>
      <c r="J20" s="692">
        <v>4.11</v>
      </c>
      <c r="K20" s="692">
        <v>4.24</v>
      </c>
      <c r="L20" s="692">
        <v>4.35</v>
      </c>
      <c r="M20" s="693">
        <v>4.46</v>
      </c>
      <c r="N20" s="671"/>
      <c r="O20" s="392">
        <v>6.8</v>
      </c>
      <c r="P20" s="393">
        <v>6.53808082609385</v>
      </c>
      <c r="Q20" s="394">
        <v>13.33808082609385</v>
      </c>
      <c r="R20" s="395"/>
      <c r="S20" s="392">
        <v>21.14</v>
      </c>
      <c r="T20" s="396">
        <v>0.5849356647054444</v>
      </c>
    </row>
    <row r="21" spans="2:20" ht="14.25">
      <c r="B21" s="1494"/>
      <c r="C21" s="690" t="s">
        <v>556</v>
      </c>
      <c r="D21" s="691">
        <v>1.1</v>
      </c>
      <c r="E21" s="692">
        <v>1.3</v>
      </c>
      <c r="F21" s="692">
        <v>1.3</v>
      </c>
      <c r="G21" s="692">
        <v>0.9617547628924696</v>
      </c>
      <c r="H21" s="693">
        <v>0.748009626137089</v>
      </c>
      <c r="I21" s="691">
        <v>2.38</v>
      </c>
      <c r="J21" s="692">
        <v>2.53</v>
      </c>
      <c r="K21" s="692">
        <v>2.67</v>
      </c>
      <c r="L21" s="692">
        <v>2.81</v>
      </c>
      <c r="M21" s="693">
        <v>2.95</v>
      </c>
      <c r="N21" s="671"/>
      <c r="O21" s="392">
        <v>3.7</v>
      </c>
      <c r="P21" s="393">
        <v>1.7097643890295586</v>
      </c>
      <c r="Q21" s="394">
        <v>5.409764389029558</v>
      </c>
      <c r="R21" s="395"/>
      <c r="S21" s="392">
        <v>13.34</v>
      </c>
      <c r="T21" s="396">
        <v>1.4659114594809597</v>
      </c>
    </row>
    <row r="22" spans="2:20" ht="14.25">
      <c r="B22" s="1494"/>
      <c r="C22" s="690" t="s">
        <v>557</v>
      </c>
      <c r="D22" s="691">
        <v>1.2</v>
      </c>
      <c r="E22" s="692">
        <v>1.5</v>
      </c>
      <c r="F22" s="692">
        <v>1.1</v>
      </c>
      <c r="G22" s="692">
        <v>1.0978027707009799</v>
      </c>
      <c r="H22" s="693">
        <v>0.6040808076247558</v>
      </c>
      <c r="I22" s="691">
        <v>1.16</v>
      </c>
      <c r="J22" s="692">
        <v>1.16</v>
      </c>
      <c r="K22" s="692">
        <v>1.16</v>
      </c>
      <c r="L22" s="692">
        <v>1.16</v>
      </c>
      <c r="M22" s="693">
        <v>1.16</v>
      </c>
      <c r="N22" s="671"/>
      <c r="O22" s="392">
        <v>3.8</v>
      </c>
      <c r="P22" s="393">
        <v>1.7018835783257358</v>
      </c>
      <c r="Q22" s="394">
        <v>5.501883578325736</v>
      </c>
      <c r="R22" s="395"/>
      <c r="S22" s="392">
        <v>5.8</v>
      </c>
      <c r="T22" s="396">
        <v>0.05418442928321337</v>
      </c>
    </row>
    <row r="23" spans="2:20" ht="14.25">
      <c r="B23" s="1494" t="s">
        <v>756</v>
      </c>
      <c r="C23" s="690" t="s">
        <v>644</v>
      </c>
      <c r="D23" s="691">
        <v>0.4</v>
      </c>
      <c r="E23" s="692">
        <v>0.5</v>
      </c>
      <c r="F23" s="692">
        <v>0.6</v>
      </c>
      <c r="G23" s="692">
        <v>0.41756273165842805</v>
      </c>
      <c r="H23" s="693">
        <v>0.31307144464726483</v>
      </c>
      <c r="I23" s="691">
        <v>1.13</v>
      </c>
      <c r="J23" s="692">
        <v>1.55</v>
      </c>
      <c r="K23" s="692">
        <v>1.98</v>
      </c>
      <c r="L23" s="692">
        <v>1.98</v>
      </c>
      <c r="M23" s="693">
        <v>1.98</v>
      </c>
      <c r="N23" s="671"/>
      <c r="O23" s="392">
        <v>1.5</v>
      </c>
      <c r="P23" s="393">
        <v>0.7306341763056929</v>
      </c>
      <c r="Q23" s="394">
        <v>2.230634176305693</v>
      </c>
      <c r="R23" s="395"/>
      <c r="S23" s="392">
        <v>8.62</v>
      </c>
      <c r="T23" s="396">
        <v>2.8643718865081578</v>
      </c>
    </row>
    <row r="24" spans="2:20" ht="14.25">
      <c r="B24" s="1494"/>
      <c r="C24" s="690" t="s">
        <v>432</v>
      </c>
      <c r="D24" s="691">
        <v>0.4</v>
      </c>
      <c r="E24" s="692">
        <v>0.5</v>
      </c>
      <c r="F24" s="692">
        <v>0.8</v>
      </c>
      <c r="G24" s="692">
        <v>0.6739609002206207</v>
      </c>
      <c r="H24" s="693">
        <v>0.9171522522720206</v>
      </c>
      <c r="I24" s="691">
        <v>0.44</v>
      </c>
      <c r="J24" s="692">
        <v>0.44</v>
      </c>
      <c r="K24" s="692">
        <v>0.47</v>
      </c>
      <c r="L24" s="692">
        <v>0.49</v>
      </c>
      <c r="M24" s="693">
        <v>0.52</v>
      </c>
      <c r="N24" s="671"/>
      <c r="O24" s="392">
        <v>1.7</v>
      </c>
      <c r="P24" s="393">
        <v>1.5911131524926412</v>
      </c>
      <c r="Q24" s="394">
        <v>3.291113152492642</v>
      </c>
      <c r="R24" s="395"/>
      <c r="S24" s="392">
        <v>2.36</v>
      </c>
      <c r="T24" s="396">
        <v>-0.28291739279381195</v>
      </c>
    </row>
    <row r="25" spans="2:20" ht="14.25">
      <c r="B25" s="1494"/>
      <c r="C25" s="690" t="s">
        <v>551</v>
      </c>
      <c r="D25" s="691">
        <v>0</v>
      </c>
      <c r="E25" s="692">
        <v>0.1</v>
      </c>
      <c r="F25" s="692">
        <v>0</v>
      </c>
      <c r="G25" s="692">
        <v>0</v>
      </c>
      <c r="H25" s="693">
        <v>0</v>
      </c>
      <c r="I25" s="691">
        <v>0.61</v>
      </c>
      <c r="J25" s="692">
        <v>0.61</v>
      </c>
      <c r="K25" s="692">
        <v>0.71</v>
      </c>
      <c r="L25" s="692">
        <v>0.71</v>
      </c>
      <c r="M25" s="693">
        <v>0.82</v>
      </c>
      <c r="N25" s="671"/>
      <c r="O25" s="392">
        <v>0.1</v>
      </c>
      <c r="P25" s="393">
        <v>0</v>
      </c>
      <c r="Q25" s="394">
        <v>0.1</v>
      </c>
      <c r="R25" s="395"/>
      <c r="S25" s="392">
        <v>3.46</v>
      </c>
      <c r="T25" s="396">
        <v>33.6</v>
      </c>
    </row>
    <row r="26" spans="2:20" ht="14.25">
      <c r="B26" s="1494"/>
      <c r="C26" s="690" t="s">
        <v>643</v>
      </c>
      <c r="D26" s="691">
        <v>1.4</v>
      </c>
      <c r="E26" s="692">
        <v>2.5</v>
      </c>
      <c r="F26" s="692">
        <v>0.7</v>
      </c>
      <c r="G26" s="692">
        <v>1.5509472890170184</v>
      </c>
      <c r="H26" s="693">
        <v>1.7859780399340608</v>
      </c>
      <c r="I26" s="691">
        <v>0.96</v>
      </c>
      <c r="J26" s="692">
        <v>0.97</v>
      </c>
      <c r="K26" s="692">
        <v>0.98</v>
      </c>
      <c r="L26" s="692">
        <v>0.98</v>
      </c>
      <c r="M26" s="693">
        <v>0.99</v>
      </c>
      <c r="N26" s="671"/>
      <c r="O26" s="392">
        <v>4.6</v>
      </c>
      <c r="P26" s="393">
        <v>3.336925328951079</v>
      </c>
      <c r="Q26" s="394">
        <v>7.936925328951078</v>
      </c>
      <c r="R26" s="395"/>
      <c r="S26" s="392">
        <v>4.88</v>
      </c>
      <c r="T26" s="396">
        <v>-0.38515233572886254</v>
      </c>
    </row>
    <row r="27" spans="2:20" ht="14.25">
      <c r="B27" s="1494"/>
      <c r="C27" s="690" t="s">
        <v>556</v>
      </c>
      <c r="D27" s="691">
        <v>1.3</v>
      </c>
      <c r="E27" s="692">
        <v>1.2</v>
      </c>
      <c r="F27" s="692">
        <v>1.4</v>
      </c>
      <c r="G27" s="692">
        <v>1.0967562475639916</v>
      </c>
      <c r="H27" s="693">
        <v>0.6292946152473543</v>
      </c>
      <c r="I27" s="691">
        <v>1.75</v>
      </c>
      <c r="J27" s="692">
        <v>1.88</v>
      </c>
      <c r="K27" s="692">
        <v>2.01</v>
      </c>
      <c r="L27" s="692">
        <v>2.15</v>
      </c>
      <c r="M27" s="693">
        <v>2.28</v>
      </c>
      <c r="N27" s="671"/>
      <c r="O27" s="392">
        <v>3.9</v>
      </c>
      <c r="P27" s="393">
        <v>1.7260508628113458</v>
      </c>
      <c r="Q27" s="394">
        <v>5.626050862811346</v>
      </c>
      <c r="R27" s="395"/>
      <c r="S27" s="392">
        <v>10.07</v>
      </c>
      <c r="T27" s="396">
        <v>0.7898878352777643</v>
      </c>
    </row>
    <row r="28" spans="2:20" ht="14.25">
      <c r="B28" s="1494"/>
      <c r="C28" s="695" t="s">
        <v>557</v>
      </c>
      <c r="D28" s="691">
        <v>0.7</v>
      </c>
      <c r="E28" s="692">
        <v>0.6</v>
      </c>
      <c r="F28" s="692">
        <v>0.7</v>
      </c>
      <c r="G28" s="692">
        <v>0.9282660225088363</v>
      </c>
      <c r="H28" s="693">
        <v>0.162839174229282</v>
      </c>
      <c r="I28" s="691">
        <v>0.75</v>
      </c>
      <c r="J28" s="692">
        <v>0.75</v>
      </c>
      <c r="K28" s="692">
        <v>0.75</v>
      </c>
      <c r="L28" s="692">
        <v>0.75</v>
      </c>
      <c r="M28" s="693">
        <v>0.75</v>
      </c>
      <c r="N28" s="671"/>
      <c r="O28" s="392">
        <v>2</v>
      </c>
      <c r="P28" s="393">
        <v>1.0911051967381182</v>
      </c>
      <c r="Q28" s="394">
        <v>3.091105196738118</v>
      </c>
      <c r="R28" s="395"/>
      <c r="S28" s="392">
        <v>3.75</v>
      </c>
      <c r="T28" s="396">
        <v>0.2131583240703614</v>
      </c>
    </row>
    <row r="29" spans="2:20" ht="14.25">
      <c r="B29" s="1494" t="s">
        <v>754</v>
      </c>
      <c r="C29" s="696" t="s">
        <v>644</v>
      </c>
      <c r="D29" s="691">
        <v>1.5</v>
      </c>
      <c r="E29" s="692">
        <v>3.9</v>
      </c>
      <c r="F29" s="692">
        <v>2.9</v>
      </c>
      <c r="G29" s="692">
        <v>3.044335805499667</v>
      </c>
      <c r="H29" s="693">
        <v>0.980186771328517</v>
      </c>
      <c r="I29" s="691">
        <v>0.62</v>
      </c>
      <c r="J29" s="692">
        <v>0.87</v>
      </c>
      <c r="K29" s="692">
        <v>1.12</v>
      </c>
      <c r="L29" s="692">
        <v>1.26</v>
      </c>
      <c r="M29" s="693">
        <v>1.25</v>
      </c>
      <c r="N29" s="671"/>
      <c r="O29" s="392">
        <v>8.3</v>
      </c>
      <c r="P29" s="393">
        <v>4.0245225768281845</v>
      </c>
      <c r="Q29" s="394">
        <v>12.324522576828185</v>
      </c>
      <c r="R29" s="395"/>
      <c r="S29" s="392">
        <v>5.12</v>
      </c>
      <c r="T29" s="396">
        <v>-0.5845680862619124</v>
      </c>
    </row>
    <row r="30" spans="2:20" ht="14.25">
      <c r="B30" s="1494"/>
      <c r="C30" s="690" t="s">
        <v>432</v>
      </c>
      <c r="D30" s="691">
        <v>0.1</v>
      </c>
      <c r="E30" s="692">
        <v>0</v>
      </c>
      <c r="F30" s="692">
        <v>0.8</v>
      </c>
      <c r="G30" s="692">
        <v>0.716868348837151</v>
      </c>
      <c r="H30" s="693">
        <v>0.5578554936499919</v>
      </c>
      <c r="I30" s="691">
        <v>1.19</v>
      </c>
      <c r="J30" s="692">
        <v>1.31</v>
      </c>
      <c r="K30" s="692">
        <v>1.55</v>
      </c>
      <c r="L30" s="692">
        <v>1.67</v>
      </c>
      <c r="M30" s="693">
        <v>1.91</v>
      </c>
      <c r="N30" s="671"/>
      <c r="O30" s="392">
        <v>0.9</v>
      </c>
      <c r="P30" s="393">
        <v>1.274723842487143</v>
      </c>
      <c r="Q30" s="394">
        <v>2.174723842487143</v>
      </c>
      <c r="R30" s="395"/>
      <c r="S30" s="392">
        <v>7.63</v>
      </c>
      <c r="T30" s="396">
        <v>2.50849144656173</v>
      </c>
    </row>
    <row r="31" spans="2:20" ht="14.25">
      <c r="B31" s="1494"/>
      <c r="C31" s="695" t="s">
        <v>569</v>
      </c>
      <c r="D31" s="691">
        <v>0</v>
      </c>
      <c r="E31" s="692">
        <v>0</v>
      </c>
      <c r="F31" s="692">
        <v>0</v>
      </c>
      <c r="G31" s="692">
        <v>0</v>
      </c>
      <c r="H31" s="693">
        <v>0</v>
      </c>
      <c r="I31" s="691">
        <v>0</v>
      </c>
      <c r="J31" s="692">
        <v>0</v>
      </c>
      <c r="K31" s="692">
        <v>0</v>
      </c>
      <c r="L31" s="692">
        <v>0</v>
      </c>
      <c r="M31" s="693">
        <v>0</v>
      </c>
      <c r="N31" s="671"/>
      <c r="O31" s="392">
        <v>0</v>
      </c>
      <c r="P31" s="393">
        <v>0</v>
      </c>
      <c r="Q31" s="394">
        <v>0</v>
      </c>
      <c r="R31" s="395"/>
      <c r="S31" s="392">
        <v>0</v>
      </c>
      <c r="T31" s="396" t="s">
        <v>28</v>
      </c>
    </row>
    <row r="32" spans="2:20" ht="14.25">
      <c r="B32" s="1494"/>
      <c r="C32" s="695" t="s">
        <v>643</v>
      </c>
      <c r="D32" s="691">
        <v>0.8</v>
      </c>
      <c r="E32" s="692">
        <v>0.4</v>
      </c>
      <c r="F32" s="692">
        <v>0.3</v>
      </c>
      <c r="G32" s="692">
        <v>0.7629153668646468</v>
      </c>
      <c r="H32" s="693">
        <v>1.341584680585762</v>
      </c>
      <c r="I32" s="691">
        <v>0.16</v>
      </c>
      <c r="J32" s="692">
        <v>0.16</v>
      </c>
      <c r="K32" s="692">
        <v>0.16</v>
      </c>
      <c r="L32" s="692">
        <v>0.14</v>
      </c>
      <c r="M32" s="693">
        <v>0.14</v>
      </c>
      <c r="N32" s="671"/>
      <c r="O32" s="392">
        <v>1.5</v>
      </c>
      <c r="P32" s="393">
        <v>2.1045000474504088</v>
      </c>
      <c r="Q32" s="394">
        <v>3.604500047450409</v>
      </c>
      <c r="R32" s="395"/>
      <c r="S32" s="392">
        <v>0.76</v>
      </c>
      <c r="T32" s="396">
        <v>-0.7891524511041205</v>
      </c>
    </row>
    <row r="33" spans="2:20" ht="14.25">
      <c r="B33" s="1494"/>
      <c r="C33" s="695" t="s">
        <v>556</v>
      </c>
      <c r="D33" s="691">
        <v>1.8</v>
      </c>
      <c r="E33" s="692">
        <v>1.9</v>
      </c>
      <c r="F33" s="692">
        <v>1</v>
      </c>
      <c r="G33" s="692">
        <v>1.6336226168391133</v>
      </c>
      <c r="H33" s="693">
        <v>0.5841198765901987</v>
      </c>
      <c r="I33" s="691">
        <v>2.81</v>
      </c>
      <c r="J33" s="692">
        <v>2.81</v>
      </c>
      <c r="K33" s="692">
        <v>2.92</v>
      </c>
      <c r="L33" s="692">
        <v>2.04</v>
      </c>
      <c r="M33" s="693">
        <v>2.04</v>
      </c>
      <c r="N33" s="671"/>
      <c r="O33" s="392">
        <v>4.7</v>
      </c>
      <c r="P33" s="393">
        <v>2.217742493429312</v>
      </c>
      <c r="Q33" s="394">
        <v>6.917742493429312</v>
      </c>
      <c r="R33" s="395"/>
      <c r="S33" s="392">
        <v>12.62</v>
      </c>
      <c r="T33" s="396">
        <v>0.8242945602538498</v>
      </c>
    </row>
    <row r="34" spans="2:20" ht="14.25">
      <c r="B34" s="1494"/>
      <c r="C34" s="695" t="s">
        <v>557</v>
      </c>
      <c r="D34" s="691">
        <v>0.2</v>
      </c>
      <c r="E34" s="692">
        <v>0.3</v>
      </c>
      <c r="F34" s="692">
        <v>0.8</v>
      </c>
      <c r="G34" s="692">
        <v>1.1197797565777394</v>
      </c>
      <c r="H34" s="693">
        <v>0.33513352631703847</v>
      </c>
      <c r="I34" s="691">
        <v>0.15</v>
      </c>
      <c r="J34" s="692">
        <v>0.15</v>
      </c>
      <c r="K34" s="692">
        <v>0.15</v>
      </c>
      <c r="L34" s="692">
        <v>0.15</v>
      </c>
      <c r="M34" s="693">
        <v>0.15</v>
      </c>
      <c r="N34" s="671"/>
      <c r="O34" s="392">
        <v>1.3</v>
      </c>
      <c r="P34" s="393">
        <v>1.454913282894778</v>
      </c>
      <c r="Q34" s="394">
        <v>2.7549132828947775</v>
      </c>
      <c r="R34" s="395"/>
      <c r="S34" s="392">
        <v>0.75</v>
      </c>
      <c r="T34" s="396">
        <v>-0.7277591259744034</v>
      </c>
    </row>
    <row r="35" spans="2:20" ht="15.75" thickBot="1">
      <c r="B35" s="697" t="s">
        <v>570</v>
      </c>
      <c r="C35" s="698"/>
      <c r="D35" s="699">
        <v>24.167928048664923</v>
      </c>
      <c r="E35" s="700">
        <v>33.787607124118956</v>
      </c>
      <c r="F35" s="700">
        <v>33.2</v>
      </c>
      <c r="G35" s="700">
        <v>35.10530633036541</v>
      </c>
      <c r="H35" s="701">
        <v>30.480382413887572</v>
      </c>
      <c r="I35" s="699">
        <v>33.99</v>
      </c>
      <c r="J35" s="700">
        <v>38.63</v>
      </c>
      <c r="K35" s="700">
        <v>44.01</v>
      </c>
      <c r="L35" s="700">
        <v>46.09</v>
      </c>
      <c r="M35" s="701">
        <v>46.61</v>
      </c>
      <c r="N35" s="671"/>
      <c r="O35" s="405">
        <v>91.15553517278389</v>
      </c>
      <c r="P35" s="406">
        <v>65.58568874425298</v>
      </c>
      <c r="Q35" s="407">
        <v>156.74122391703688</v>
      </c>
      <c r="R35" s="395"/>
      <c r="S35" s="405">
        <v>209.33</v>
      </c>
      <c r="T35" s="408">
        <v>0.33551336890669137</v>
      </c>
    </row>
    <row r="36" spans="2:20" ht="15">
      <c r="B36" s="702"/>
      <c r="C36" s="702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671"/>
      <c r="O36" s="671"/>
      <c r="P36" s="671"/>
      <c r="Q36" s="671"/>
      <c r="R36" s="704"/>
      <c r="S36" s="704"/>
      <c r="T36" s="704"/>
    </row>
    <row r="37" spans="2:20" ht="14.25"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704"/>
      <c r="S37" s="704"/>
      <c r="T37" s="704"/>
    </row>
    <row r="38" spans="2:20" ht="15">
      <c r="B38" s="669" t="s">
        <v>444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704"/>
      <c r="O38" s="671"/>
      <c r="P38" s="671"/>
      <c r="Q38" s="671"/>
      <c r="R38" s="704"/>
      <c r="S38" s="704"/>
      <c r="T38" s="704"/>
    </row>
    <row r="39" spans="2:20" ht="15" thickBot="1">
      <c r="B39" s="671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395"/>
      <c r="O39" s="671"/>
      <c r="P39" s="671"/>
      <c r="Q39" s="671"/>
      <c r="R39" s="704"/>
      <c r="S39" s="704"/>
      <c r="T39" s="704"/>
    </row>
    <row r="40" spans="2:20" ht="15">
      <c r="B40" s="673" t="s">
        <v>544</v>
      </c>
      <c r="C40" s="674"/>
      <c r="D40" s="676" t="s">
        <v>545</v>
      </c>
      <c r="E40" s="676"/>
      <c r="F40" s="676"/>
      <c r="G40" s="676"/>
      <c r="H40" s="677"/>
      <c r="I40" s="675" t="s">
        <v>546</v>
      </c>
      <c r="J40" s="676"/>
      <c r="K40" s="676"/>
      <c r="L40" s="676"/>
      <c r="M40" s="677"/>
      <c r="N40" s="395"/>
      <c r="O40" s="489" t="s">
        <v>547</v>
      </c>
      <c r="P40" s="490"/>
      <c r="Q40" s="491"/>
      <c r="R40" s="395"/>
      <c r="S40" s="489" t="s">
        <v>548</v>
      </c>
      <c r="T40" s="491"/>
    </row>
    <row r="41" spans="2:20" ht="25.5">
      <c r="B41" s="678"/>
      <c r="C41" s="679"/>
      <c r="D41" s="685" t="s">
        <v>742</v>
      </c>
      <c r="E41" s="681" t="s">
        <v>743</v>
      </c>
      <c r="F41" s="681" t="s">
        <v>739</v>
      </c>
      <c r="G41" s="681" t="s">
        <v>609</v>
      </c>
      <c r="H41" s="682" t="s">
        <v>610</v>
      </c>
      <c r="I41" s="680" t="s">
        <v>549</v>
      </c>
      <c r="J41" s="681" t="s">
        <v>706</v>
      </c>
      <c r="K41" s="681" t="s">
        <v>707</v>
      </c>
      <c r="L41" s="681" t="s">
        <v>708</v>
      </c>
      <c r="M41" s="682" t="s">
        <v>709</v>
      </c>
      <c r="N41" s="395"/>
      <c r="O41" s="493" t="s">
        <v>690</v>
      </c>
      <c r="P41" s="494" t="s">
        <v>691</v>
      </c>
      <c r="Q41" s="495" t="s">
        <v>757</v>
      </c>
      <c r="R41" s="395"/>
      <c r="S41" s="493" t="s">
        <v>691</v>
      </c>
      <c r="T41" s="495" t="s">
        <v>692</v>
      </c>
    </row>
    <row r="42" spans="2:20" ht="18">
      <c r="B42" s="683"/>
      <c r="C42" s="684"/>
      <c r="D42" s="685" t="s">
        <v>593</v>
      </c>
      <c r="E42" s="681" t="s">
        <v>593</v>
      </c>
      <c r="F42" s="681" t="s">
        <v>593</v>
      </c>
      <c r="G42" s="681" t="s">
        <v>593</v>
      </c>
      <c r="H42" s="682" t="s">
        <v>593</v>
      </c>
      <c r="I42" s="685" t="s">
        <v>593</v>
      </c>
      <c r="J42" s="681" t="s">
        <v>593</v>
      </c>
      <c r="K42" s="681" t="s">
        <v>593</v>
      </c>
      <c r="L42" s="681" t="s">
        <v>593</v>
      </c>
      <c r="M42" s="682" t="s">
        <v>593</v>
      </c>
      <c r="N42" s="671"/>
      <c r="O42" s="526"/>
      <c r="P42" s="527"/>
      <c r="Q42" s="528"/>
      <c r="R42" s="395"/>
      <c r="S42" s="500"/>
      <c r="T42" s="501"/>
    </row>
    <row r="43" spans="2:20" ht="14.25">
      <c r="B43" s="1497" t="s">
        <v>714</v>
      </c>
      <c r="C43" s="686" t="s">
        <v>715</v>
      </c>
      <c r="D43" s="705">
        <v>1.3</v>
      </c>
      <c r="E43" s="705">
        <v>1.2</v>
      </c>
      <c r="F43" s="705">
        <v>1.7</v>
      </c>
      <c r="G43" s="705">
        <v>1.3897827259207831</v>
      </c>
      <c r="H43" s="706">
        <v>0.9434166352122274</v>
      </c>
      <c r="I43" s="707">
        <v>0.87</v>
      </c>
      <c r="J43" s="708">
        <v>1.23</v>
      </c>
      <c r="K43" s="708">
        <v>1.64</v>
      </c>
      <c r="L43" s="708">
        <v>1.64</v>
      </c>
      <c r="M43" s="709">
        <v>1.64</v>
      </c>
      <c r="N43" s="671"/>
      <c r="O43" s="392">
        <v>4.2</v>
      </c>
      <c r="P43" s="393">
        <v>2.3331993611330106</v>
      </c>
      <c r="Q43" s="394">
        <v>6.533199361133011</v>
      </c>
      <c r="R43" s="395"/>
      <c r="S43" s="392">
        <v>7.02</v>
      </c>
      <c r="T43" s="396">
        <v>0.07451182980318016</v>
      </c>
    </row>
    <row r="44" spans="2:20" ht="14.25">
      <c r="B44" s="1498"/>
      <c r="C44" s="690" t="s">
        <v>672</v>
      </c>
      <c r="D44" s="710">
        <v>1.7</v>
      </c>
      <c r="E44" s="710">
        <v>1.5</v>
      </c>
      <c r="F44" s="710">
        <v>1.1</v>
      </c>
      <c r="G44" s="710">
        <v>1.7696706246476237</v>
      </c>
      <c r="H44" s="711">
        <v>1.8857826951068464</v>
      </c>
      <c r="I44" s="712">
        <v>2.18</v>
      </c>
      <c r="J44" s="713">
        <v>2.27</v>
      </c>
      <c r="K44" s="713">
        <v>2.35</v>
      </c>
      <c r="L44" s="713">
        <v>2.42</v>
      </c>
      <c r="M44" s="714">
        <v>2.48</v>
      </c>
      <c r="N44" s="671"/>
      <c r="O44" s="392">
        <v>4.3</v>
      </c>
      <c r="P44" s="393">
        <v>3.65545331975447</v>
      </c>
      <c r="Q44" s="394">
        <v>7.955453319754471</v>
      </c>
      <c r="R44" s="395"/>
      <c r="S44" s="392">
        <v>11.7</v>
      </c>
      <c r="T44" s="396">
        <v>0.4706892906966485</v>
      </c>
    </row>
    <row r="45" spans="2:20" ht="14.25">
      <c r="B45" s="1498" t="s">
        <v>673</v>
      </c>
      <c r="C45" s="690" t="s">
        <v>715</v>
      </c>
      <c r="D45" s="710">
        <v>0</v>
      </c>
      <c r="E45" s="710">
        <v>0</v>
      </c>
      <c r="F45" s="710">
        <v>0</v>
      </c>
      <c r="G45" s="710">
        <v>0.0429074486165302</v>
      </c>
      <c r="H45" s="711">
        <v>0</v>
      </c>
      <c r="I45" s="712">
        <v>0</v>
      </c>
      <c r="J45" s="713">
        <v>0</v>
      </c>
      <c r="K45" s="713">
        <v>0</v>
      </c>
      <c r="L45" s="713">
        <v>0</v>
      </c>
      <c r="M45" s="714">
        <v>0</v>
      </c>
      <c r="N45" s="671"/>
      <c r="O45" s="392">
        <v>0</v>
      </c>
      <c r="P45" s="393">
        <v>0.0429074486165302</v>
      </c>
      <c r="Q45" s="394">
        <v>0.0429074486165302</v>
      </c>
      <c r="R45" s="395"/>
      <c r="S45" s="392">
        <v>0</v>
      </c>
      <c r="T45" s="396">
        <v>-1</v>
      </c>
    </row>
    <row r="46" spans="2:20" ht="14.25">
      <c r="B46" s="1498"/>
      <c r="C46" s="690" t="s">
        <v>672</v>
      </c>
      <c r="D46" s="710">
        <v>-0.4320719513350796</v>
      </c>
      <c r="E46" s="713">
        <v>-0.31239287588104236</v>
      </c>
      <c r="F46" s="713">
        <v>-0.3</v>
      </c>
      <c r="G46" s="713">
        <v>-0.38543281432700627</v>
      </c>
      <c r="H46" s="714">
        <v>-0.20109607440707422</v>
      </c>
      <c r="I46" s="712">
        <v>-0.3</v>
      </c>
      <c r="J46" s="713">
        <v>-0.3</v>
      </c>
      <c r="K46" s="713">
        <v>-0.3</v>
      </c>
      <c r="L46" s="713">
        <v>-0.3</v>
      </c>
      <c r="M46" s="714">
        <v>-0.3</v>
      </c>
      <c r="N46" s="671"/>
      <c r="O46" s="392">
        <v>-1.0444648272161219</v>
      </c>
      <c r="P46" s="393">
        <v>-0.5865288887340805</v>
      </c>
      <c r="Q46" s="394">
        <v>-1.6309937159502024</v>
      </c>
      <c r="R46" s="395"/>
      <c r="S46" s="392">
        <v>-1.5</v>
      </c>
      <c r="T46" s="396">
        <v>-0.08031527937180714</v>
      </c>
    </row>
    <row r="47" spans="2:20" ht="14.25">
      <c r="B47" s="1494" t="s">
        <v>532</v>
      </c>
      <c r="C47" s="690" t="s">
        <v>693</v>
      </c>
      <c r="D47" s="715">
        <v>3.3</v>
      </c>
      <c r="E47" s="716">
        <v>3.6</v>
      </c>
      <c r="F47" s="716">
        <v>5.3</v>
      </c>
      <c r="G47" s="716">
        <v>4.758540703886898</v>
      </c>
      <c r="H47" s="717">
        <v>4.400833796743651</v>
      </c>
      <c r="I47" s="718">
        <v>4.99</v>
      </c>
      <c r="J47" s="716">
        <v>5.62</v>
      </c>
      <c r="K47" s="716">
        <v>6.42</v>
      </c>
      <c r="L47" s="716">
        <v>7.03</v>
      </c>
      <c r="M47" s="717">
        <v>6.79</v>
      </c>
      <c r="N47" s="671"/>
      <c r="O47" s="392">
        <v>12.2</v>
      </c>
      <c r="P47" s="393">
        <v>9.159374500630548</v>
      </c>
      <c r="Q47" s="394">
        <v>21.359374500630548</v>
      </c>
      <c r="R47" s="395"/>
      <c r="S47" s="392">
        <v>30.85</v>
      </c>
      <c r="T47" s="396">
        <v>0.44433068482830723</v>
      </c>
    </row>
    <row r="48" spans="2:20" ht="14.25">
      <c r="B48" s="1494"/>
      <c r="C48" s="690" t="s">
        <v>566</v>
      </c>
      <c r="D48" s="710">
        <v>0.9</v>
      </c>
      <c r="E48" s="713">
        <v>1.1</v>
      </c>
      <c r="F48" s="713">
        <v>0.8</v>
      </c>
      <c r="G48" s="713">
        <v>0.6851403100320748</v>
      </c>
      <c r="H48" s="714">
        <v>0.5015846805857622</v>
      </c>
      <c r="I48" s="712">
        <v>0.27</v>
      </c>
      <c r="J48" s="713">
        <v>0.46</v>
      </c>
      <c r="K48" s="713">
        <v>0.67</v>
      </c>
      <c r="L48" s="713">
        <v>0.88</v>
      </c>
      <c r="M48" s="714">
        <v>1.11</v>
      </c>
      <c r="N48" s="719"/>
      <c r="O48" s="392">
        <v>2.8</v>
      </c>
      <c r="P48" s="393">
        <v>1.186724990617837</v>
      </c>
      <c r="Q48" s="394">
        <v>3.986724990617837</v>
      </c>
      <c r="R48" s="395"/>
      <c r="S48" s="392">
        <v>3.39</v>
      </c>
      <c r="T48" s="396">
        <v>-0.1496779918409573</v>
      </c>
    </row>
    <row r="49" spans="2:20" ht="14.25">
      <c r="B49" s="1494"/>
      <c r="C49" s="694" t="s">
        <v>643</v>
      </c>
      <c r="D49" s="710">
        <v>0.2</v>
      </c>
      <c r="E49" s="713">
        <v>0.2</v>
      </c>
      <c r="F49" s="713">
        <v>0</v>
      </c>
      <c r="G49" s="713">
        <v>0.18000197956202912</v>
      </c>
      <c r="H49" s="714">
        <v>0.09350120326713612</v>
      </c>
      <c r="I49" s="712">
        <v>0.53</v>
      </c>
      <c r="J49" s="713">
        <v>0.58</v>
      </c>
      <c r="K49" s="713">
        <v>0.64</v>
      </c>
      <c r="L49" s="713">
        <v>0.7</v>
      </c>
      <c r="M49" s="714">
        <v>0.76</v>
      </c>
      <c r="N49" s="719"/>
      <c r="O49" s="392">
        <v>0.4</v>
      </c>
      <c r="P49" s="393">
        <v>0.27350318282916525</v>
      </c>
      <c r="Q49" s="394">
        <v>0.6735031828291653</v>
      </c>
      <c r="R49" s="395"/>
      <c r="S49" s="392">
        <v>3.21</v>
      </c>
      <c r="T49" s="396">
        <v>3.7661244695471905</v>
      </c>
    </row>
    <row r="50" spans="2:20" ht="14.25">
      <c r="B50" s="1494" t="s">
        <v>750</v>
      </c>
      <c r="C50" s="690" t="s">
        <v>644</v>
      </c>
      <c r="D50" s="715">
        <v>2.5</v>
      </c>
      <c r="E50" s="716">
        <v>6.2</v>
      </c>
      <c r="F50" s="716">
        <v>7.1</v>
      </c>
      <c r="G50" s="716">
        <v>7.4481051659474495</v>
      </c>
      <c r="H50" s="717">
        <v>7.389572872976108</v>
      </c>
      <c r="I50" s="718">
        <v>4.78</v>
      </c>
      <c r="J50" s="716">
        <v>6.78</v>
      </c>
      <c r="K50" s="716">
        <v>8.91</v>
      </c>
      <c r="L50" s="716">
        <v>10.14</v>
      </c>
      <c r="M50" s="717">
        <v>9.65</v>
      </c>
      <c r="N50" s="671"/>
      <c r="O50" s="392">
        <v>15.8</v>
      </c>
      <c r="P50" s="393">
        <v>14.837678038923556</v>
      </c>
      <c r="Q50" s="394">
        <v>30.637678038923557</v>
      </c>
      <c r="R50" s="395"/>
      <c r="S50" s="392">
        <v>40.26</v>
      </c>
      <c r="T50" s="396">
        <v>0.3140682511530994</v>
      </c>
    </row>
    <row r="51" spans="2:20" ht="14.25">
      <c r="B51" s="1494"/>
      <c r="C51" s="690" t="s">
        <v>432</v>
      </c>
      <c r="D51" s="710">
        <v>0.8</v>
      </c>
      <c r="E51" s="713">
        <v>1.1</v>
      </c>
      <c r="F51" s="713">
        <v>0.6</v>
      </c>
      <c r="G51" s="713">
        <v>0.6474555792903415</v>
      </c>
      <c r="H51" s="714">
        <v>0.33396145735375304</v>
      </c>
      <c r="I51" s="712">
        <v>0.43</v>
      </c>
      <c r="J51" s="713">
        <v>0.54</v>
      </c>
      <c r="K51" s="713">
        <v>0.66</v>
      </c>
      <c r="L51" s="713">
        <v>0.79</v>
      </c>
      <c r="M51" s="714">
        <v>0.93</v>
      </c>
      <c r="N51" s="671"/>
      <c r="O51" s="392">
        <v>2.5</v>
      </c>
      <c r="P51" s="393">
        <v>0.9814170366440945</v>
      </c>
      <c r="Q51" s="394">
        <v>3.4814170366440944</v>
      </c>
      <c r="R51" s="395"/>
      <c r="S51" s="392">
        <v>3.35</v>
      </c>
      <c r="T51" s="396">
        <v>-0.03774814544217131</v>
      </c>
    </row>
    <row r="52" spans="2:20" ht="14.25">
      <c r="B52" s="1494"/>
      <c r="C52" s="694" t="s">
        <v>551</v>
      </c>
      <c r="D52" s="710">
        <v>0</v>
      </c>
      <c r="E52" s="713">
        <v>0.1</v>
      </c>
      <c r="F52" s="713">
        <v>0</v>
      </c>
      <c r="G52" s="713">
        <v>0</v>
      </c>
      <c r="H52" s="714">
        <v>0</v>
      </c>
      <c r="I52" s="712">
        <v>0.05</v>
      </c>
      <c r="J52" s="713">
        <v>0.05</v>
      </c>
      <c r="K52" s="713">
        <v>0.05</v>
      </c>
      <c r="L52" s="713">
        <v>0.05</v>
      </c>
      <c r="M52" s="714">
        <v>0.05</v>
      </c>
      <c r="N52" s="671"/>
      <c r="O52" s="392">
        <v>0.1</v>
      </c>
      <c r="P52" s="393">
        <v>0</v>
      </c>
      <c r="Q52" s="394">
        <v>0.1</v>
      </c>
      <c r="R52" s="395"/>
      <c r="S52" s="392">
        <v>0.25</v>
      </c>
      <c r="T52" s="396">
        <v>1.5</v>
      </c>
    </row>
    <row r="53" spans="2:20" ht="14.25">
      <c r="B53" s="1494"/>
      <c r="C53" s="694" t="s">
        <v>643</v>
      </c>
      <c r="D53" s="710">
        <v>1.7</v>
      </c>
      <c r="E53" s="713">
        <v>2.5</v>
      </c>
      <c r="F53" s="713">
        <v>2.5</v>
      </c>
      <c r="G53" s="713">
        <v>2.364561987608015</v>
      </c>
      <c r="H53" s="714">
        <v>3.9735188384858353</v>
      </c>
      <c r="I53" s="712">
        <v>3.88</v>
      </c>
      <c r="J53" s="713">
        <v>4.01</v>
      </c>
      <c r="K53" s="713">
        <v>4.14</v>
      </c>
      <c r="L53" s="713">
        <v>4.25</v>
      </c>
      <c r="M53" s="714">
        <v>4.36</v>
      </c>
      <c r="N53" s="671"/>
      <c r="O53" s="392">
        <v>6.7</v>
      </c>
      <c r="P53" s="393">
        <v>6.338080826093851</v>
      </c>
      <c r="Q53" s="394">
        <v>13.038080826093852</v>
      </c>
      <c r="R53" s="395"/>
      <c r="S53" s="392">
        <v>20.64</v>
      </c>
      <c r="T53" s="396">
        <v>0.5830550734654134</v>
      </c>
    </row>
    <row r="54" spans="2:20" ht="14.25">
      <c r="B54" s="1494"/>
      <c r="C54" s="690" t="s">
        <v>556</v>
      </c>
      <c r="D54" s="710">
        <v>1.1</v>
      </c>
      <c r="E54" s="713">
        <v>1.3</v>
      </c>
      <c r="F54" s="713">
        <v>1</v>
      </c>
      <c r="G54" s="713">
        <v>0.6617547628924696</v>
      </c>
      <c r="H54" s="714">
        <v>0.448009626137089</v>
      </c>
      <c r="I54" s="712">
        <v>2.08</v>
      </c>
      <c r="J54" s="713">
        <v>2.23</v>
      </c>
      <c r="K54" s="713">
        <v>2.37</v>
      </c>
      <c r="L54" s="713">
        <v>2.51</v>
      </c>
      <c r="M54" s="714">
        <v>2.65</v>
      </c>
      <c r="N54" s="671"/>
      <c r="O54" s="392">
        <v>3.4</v>
      </c>
      <c r="P54" s="393">
        <v>1.1097643890295585</v>
      </c>
      <c r="Q54" s="394">
        <v>4.5097643890295585</v>
      </c>
      <c r="R54" s="395"/>
      <c r="S54" s="392">
        <v>11.84</v>
      </c>
      <c r="T54" s="396">
        <v>1.6254143184956527</v>
      </c>
    </row>
    <row r="55" spans="2:20" ht="14.25">
      <c r="B55" s="1494"/>
      <c r="C55" s="690" t="s">
        <v>557</v>
      </c>
      <c r="D55" s="710">
        <v>1.2</v>
      </c>
      <c r="E55" s="713">
        <v>1.5</v>
      </c>
      <c r="F55" s="713">
        <v>1.1</v>
      </c>
      <c r="G55" s="713">
        <v>1.0978027707009799</v>
      </c>
      <c r="H55" s="714">
        <v>0.6040808076247558</v>
      </c>
      <c r="I55" s="712">
        <v>1.16</v>
      </c>
      <c r="J55" s="713">
        <v>1.16</v>
      </c>
      <c r="K55" s="713">
        <v>1.16</v>
      </c>
      <c r="L55" s="713">
        <v>1.16</v>
      </c>
      <c r="M55" s="714">
        <v>1.16</v>
      </c>
      <c r="N55" s="671"/>
      <c r="O55" s="392">
        <v>3.8</v>
      </c>
      <c r="P55" s="393">
        <v>1.7018835783257358</v>
      </c>
      <c r="Q55" s="394">
        <v>5.501883578325736</v>
      </c>
      <c r="R55" s="395"/>
      <c r="S55" s="392">
        <v>5.8</v>
      </c>
      <c r="T55" s="396">
        <v>0.05418442928321337</v>
      </c>
    </row>
    <row r="56" spans="2:20" ht="14.25">
      <c r="B56" s="1494" t="s">
        <v>756</v>
      </c>
      <c r="C56" s="690" t="s">
        <v>644</v>
      </c>
      <c r="D56" s="715">
        <v>0.4</v>
      </c>
      <c r="E56" s="716">
        <v>0.5</v>
      </c>
      <c r="F56" s="716">
        <v>0.6</v>
      </c>
      <c r="G56" s="716">
        <v>0.41756273165842805</v>
      </c>
      <c r="H56" s="717">
        <v>0.31307144464726483</v>
      </c>
      <c r="I56" s="718">
        <v>1.13</v>
      </c>
      <c r="J56" s="716">
        <v>1.55</v>
      </c>
      <c r="K56" s="716">
        <v>1.98</v>
      </c>
      <c r="L56" s="716">
        <v>1.98</v>
      </c>
      <c r="M56" s="717">
        <v>1.98</v>
      </c>
      <c r="N56" s="671"/>
      <c r="O56" s="392">
        <v>1.5</v>
      </c>
      <c r="P56" s="393">
        <v>0.7306341763056929</v>
      </c>
      <c r="Q56" s="394">
        <v>2.230634176305693</v>
      </c>
      <c r="R56" s="395"/>
      <c r="S56" s="392">
        <v>8.62</v>
      </c>
      <c r="T56" s="396">
        <v>2.8643718865081578</v>
      </c>
    </row>
    <row r="57" spans="2:20" ht="14.25">
      <c r="B57" s="1494"/>
      <c r="C57" s="690" t="s">
        <v>432</v>
      </c>
      <c r="D57" s="710">
        <v>0.4</v>
      </c>
      <c r="E57" s="713">
        <v>0.5</v>
      </c>
      <c r="F57" s="713">
        <v>0.6</v>
      </c>
      <c r="G57" s="713">
        <v>0.4739609002206207</v>
      </c>
      <c r="H57" s="714">
        <v>0.7171522522720206</v>
      </c>
      <c r="I57" s="712">
        <v>0.24</v>
      </c>
      <c r="J57" s="713">
        <v>0.24</v>
      </c>
      <c r="K57" s="713">
        <v>0.27</v>
      </c>
      <c r="L57" s="713">
        <v>0.29</v>
      </c>
      <c r="M57" s="714">
        <v>0.32</v>
      </c>
      <c r="N57" s="671"/>
      <c r="O57" s="392">
        <v>1.5</v>
      </c>
      <c r="P57" s="393">
        <v>1.1911131524926413</v>
      </c>
      <c r="Q57" s="394">
        <v>2.6911131524926413</v>
      </c>
      <c r="R57" s="395"/>
      <c r="S57" s="392">
        <v>1.36</v>
      </c>
      <c r="T57" s="396">
        <v>-0.49463291844852336</v>
      </c>
    </row>
    <row r="58" spans="2:20" ht="14.25">
      <c r="B58" s="1494"/>
      <c r="C58" s="690" t="s">
        <v>551</v>
      </c>
      <c r="D58" s="710">
        <v>0</v>
      </c>
      <c r="E58" s="713">
        <v>0.1</v>
      </c>
      <c r="F58" s="713">
        <v>0</v>
      </c>
      <c r="G58" s="713">
        <v>0</v>
      </c>
      <c r="H58" s="714">
        <v>0</v>
      </c>
      <c r="I58" s="712">
        <v>0.01</v>
      </c>
      <c r="J58" s="713">
        <v>0.01</v>
      </c>
      <c r="K58" s="713">
        <v>0.01</v>
      </c>
      <c r="L58" s="713">
        <v>0.01</v>
      </c>
      <c r="M58" s="714">
        <v>0.019999999999999907</v>
      </c>
      <c r="N58" s="671"/>
      <c r="O58" s="392">
        <v>0.1</v>
      </c>
      <c r="P58" s="393">
        <v>0</v>
      </c>
      <c r="Q58" s="394">
        <v>0.1</v>
      </c>
      <c r="R58" s="395"/>
      <c r="S58" s="392">
        <v>0.05999999999999994</v>
      </c>
      <c r="T58" s="396">
        <v>-0.40000000000000063</v>
      </c>
    </row>
    <row r="59" spans="2:20" ht="14.25">
      <c r="B59" s="1494"/>
      <c r="C59" s="690" t="s">
        <v>643</v>
      </c>
      <c r="D59" s="710">
        <v>1.4</v>
      </c>
      <c r="E59" s="713">
        <v>2.5</v>
      </c>
      <c r="F59" s="713">
        <v>0.7</v>
      </c>
      <c r="G59" s="713">
        <v>1.5509472890170184</v>
      </c>
      <c r="H59" s="714">
        <v>1.7859780399340608</v>
      </c>
      <c r="I59" s="712">
        <v>0.96</v>
      </c>
      <c r="J59" s="713">
        <v>0.97</v>
      </c>
      <c r="K59" s="713">
        <v>0.98</v>
      </c>
      <c r="L59" s="713">
        <v>0.98</v>
      </c>
      <c r="M59" s="714">
        <v>0.99</v>
      </c>
      <c r="N59" s="671"/>
      <c r="O59" s="392">
        <v>4.6</v>
      </c>
      <c r="P59" s="393">
        <v>3.336925328951079</v>
      </c>
      <c r="Q59" s="394">
        <v>7.936925328951078</v>
      </c>
      <c r="R59" s="395"/>
      <c r="S59" s="392">
        <v>4.88</v>
      </c>
      <c r="T59" s="396">
        <v>-0.38515233572886254</v>
      </c>
    </row>
    <row r="60" spans="2:20" ht="14.25">
      <c r="B60" s="1494"/>
      <c r="C60" s="690" t="s">
        <v>556</v>
      </c>
      <c r="D60" s="710">
        <v>1.3</v>
      </c>
      <c r="E60" s="713">
        <v>1.2</v>
      </c>
      <c r="F60" s="713">
        <v>1.4</v>
      </c>
      <c r="G60" s="713">
        <v>1.0967562475639916</v>
      </c>
      <c r="H60" s="714">
        <v>0.6292946152473543</v>
      </c>
      <c r="I60" s="712">
        <v>1.75</v>
      </c>
      <c r="J60" s="713">
        <v>1.88</v>
      </c>
      <c r="K60" s="713">
        <v>2.01</v>
      </c>
      <c r="L60" s="713">
        <v>2.15</v>
      </c>
      <c r="M60" s="714">
        <v>2.28</v>
      </c>
      <c r="N60" s="671"/>
      <c r="O60" s="392">
        <v>3.9</v>
      </c>
      <c r="P60" s="393">
        <v>1.7260508628113458</v>
      </c>
      <c r="Q60" s="394">
        <v>5.626050862811346</v>
      </c>
      <c r="R60" s="395"/>
      <c r="S60" s="392">
        <v>10.07</v>
      </c>
      <c r="T60" s="396">
        <v>0.7898878352777643</v>
      </c>
    </row>
    <row r="61" spans="2:20" ht="14.25">
      <c r="B61" s="1494"/>
      <c r="C61" s="695" t="s">
        <v>557</v>
      </c>
      <c r="D61" s="710">
        <v>0.7</v>
      </c>
      <c r="E61" s="713">
        <v>0.6</v>
      </c>
      <c r="F61" s="713">
        <v>0.7</v>
      </c>
      <c r="G61" s="713">
        <v>0.9282660225088363</v>
      </c>
      <c r="H61" s="714">
        <v>0.162839174229282</v>
      </c>
      <c r="I61" s="712">
        <v>0.75</v>
      </c>
      <c r="J61" s="713">
        <v>0.75</v>
      </c>
      <c r="K61" s="713">
        <v>0.75</v>
      </c>
      <c r="L61" s="713">
        <v>0.75</v>
      </c>
      <c r="M61" s="714">
        <v>0.75</v>
      </c>
      <c r="N61" s="671"/>
      <c r="O61" s="392">
        <v>2</v>
      </c>
      <c r="P61" s="393">
        <v>1.0911051967381182</v>
      </c>
      <c r="Q61" s="394">
        <v>3.091105196738118</v>
      </c>
      <c r="R61" s="395"/>
      <c r="S61" s="392">
        <v>3.75</v>
      </c>
      <c r="T61" s="396">
        <v>0.2131583240703614</v>
      </c>
    </row>
    <row r="62" spans="2:20" ht="14.25">
      <c r="B62" s="1494" t="s">
        <v>754</v>
      </c>
      <c r="C62" s="696" t="s">
        <v>644</v>
      </c>
      <c r="D62" s="715">
        <v>1.5</v>
      </c>
      <c r="E62" s="716">
        <v>3.9</v>
      </c>
      <c r="F62" s="716">
        <v>2.9</v>
      </c>
      <c r="G62" s="716">
        <v>3.044335805499667</v>
      </c>
      <c r="H62" s="717">
        <v>0.980186771328517</v>
      </c>
      <c r="I62" s="718">
        <v>0.62</v>
      </c>
      <c r="J62" s="716">
        <v>0.87</v>
      </c>
      <c r="K62" s="716">
        <v>1.12</v>
      </c>
      <c r="L62" s="716">
        <v>1.26</v>
      </c>
      <c r="M62" s="717">
        <v>1.25</v>
      </c>
      <c r="N62" s="671"/>
      <c r="O62" s="392">
        <v>8.3</v>
      </c>
      <c r="P62" s="393">
        <v>4.0245225768281845</v>
      </c>
      <c r="Q62" s="394">
        <v>12.324522576828185</v>
      </c>
      <c r="R62" s="395"/>
      <c r="S62" s="392">
        <v>5.12</v>
      </c>
      <c r="T62" s="396">
        <v>-0.5845680862619124</v>
      </c>
    </row>
    <row r="63" spans="2:20" ht="14.25">
      <c r="B63" s="1494"/>
      <c r="C63" s="690" t="s">
        <v>432</v>
      </c>
      <c r="D63" s="710">
        <v>0.1</v>
      </c>
      <c r="E63" s="713">
        <v>0</v>
      </c>
      <c r="F63" s="713">
        <v>0.8</v>
      </c>
      <c r="G63" s="713">
        <v>0.716868348837151</v>
      </c>
      <c r="H63" s="714">
        <v>0.5578554936499919</v>
      </c>
      <c r="I63" s="712">
        <v>1.19</v>
      </c>
      <c r="J63" s="713">
        <v>1.31</v>
      </c>
      <c r="K63" s="713">
        <v>1.55</v>
      </c>
      <c r="L63" s="713">
        <v>1.67</v>
      </c>
      <c r="M63" s="714">
        <v>1.91</v>
      </c>
      <c r="N63" s="671"/>
      <c r="O63" s="392">
        <v>0.9</v>
      </c>
      <c r="P63" s="393">
        <v>1.274723842487143</v>
      </c>
      <c r="Q63" s="394">
        <v>2.174723842487143</v>
      </c>
      <c r="R63" s="395"/>
      <c r="S63" s="392">
        <v>7.63</v>
      </c>
      <c r="T63" s="396">
        <v>2.50849144656173</v>
      </c>
    </row>
    <row r="64" spans="2:20" ht="14.25">
      <c r="B64" s="1494"/>
      <c r="C64" s="695" t="s">
        <v>569</v>
      </c>
      <c r="D64" s="710">
        <v>0</v>
      </c>
      <c r="E64" s="713">
        <v>0</v>
      </c>
      <c r="F64" s="713">
        <v>0</v>
      </c>
      <c r="G64" s="713">
        <v>0</v>
      </c>
      <c r="H64" s="714">
        <v>0</v>
      </c>
      <c r="I64" s="712">
        <v>0</v>
      </c>
      <c r="J64" s="713">
        <v>0</v>
      </c>
      <c r="K64" s="713">
        <v>0</v>
      </c>
      <c r="L64" s="713">
        <v>0</v>
      </c>
      <c r="M64" s="714">
        <v>0</v>
      </c>
      <c r="N64" s="671"/>
      <c r="O64" s="392">
        <v>0</v>
      </c>
      <c r="P64" s="393">
        <v>0</v>
      </c>
      <c r="Q64" s="394">
        <v>0</v>
      </c>
      <c r="R64" s="395"/>
      <c r="S64" s="392">
        <v>0</v>
      </c>
      <c r="T64" s="396" t="s">
        <v>28</v>
      </c>
    </row>
    <row r="65" spans="2:20" ht="14.25">
      <c r="B65" s="1494"/>
      <c r="C65" s="695" t="s">
        <v>643</v>
      </c>
      <c r="D65" s="710">
        <v>0.8</v>
      </c>
      <c r="E65" s="713">
        <v>0.4</v>
      </c>
      <c r="F65" s="713">
        <v>0.3</v>
      </c>
      <c r="G65" s="713">
        <v>0.7629153668646468</v>
      </c>
      <c r="H65" s="714">
        <v>1.341584680585762</v>
      </c>
      <c r="I65" s="712">
        <v>0.16</v>
      </c>
      <c r="J65" s="713">
        <v>0.16</v>
      </c>
      <c r="K65" s="713">
        <v>0.16</v>
      </c>
      <c r="L65" s="713">
        <v>0.14</v>
      </c>
      <c r="M65" s="714">
        <v>0.14</v>
      </c>
      <c r="N65" s="671"/>
      <c r="O65" s="392">
        <v>1.5</v>
      </c>
      <c r="P65" s="393">
        <v>2.1045000474504088</v>
      </c>
      <c r="Q65" s="394">
        <v>3.604500047450409</v>
      </c>
      <c r="R65" s="395"/>
      <c r="S65" s="392">
        <v>0.76</v>
      </c>
      <c r="T65" s="396">
        <v>-0.7891524511041205</v>
      </c>
    </row>
    <row r="66" spans="2:20" ht="14.25">
      <c r="B66" s="1494"/>
      <c r="C66" s="695" t="s">
        <v>556</v>
      </c>
      <c r="D66" s="710">
        <v>1.8</v>
      </c>
      <c r="E66" s="713">
        <v>1.9</v>
      </c>
      <c r="F66" s="713">
        <v>1</v>
      </c>
      <c r="G66" s="713">
        <v>1.6336226168391133</v>
      </c>
      <c r="H66" s="714">
        <v>0.5841198765901987</v>
      </c>
      <c r="I66" s="712">
        <v>2.81</v>
      </c>
      <c r="J66" s="713">
        <v>2.81</v>
      </c>
      <c r="K66" s="713">
        <v>2.92</v>
      </c>
      <c r="L66" s="713">
        <v>2.04</v>
      </c>
      <c r="M66" s="714">
        <v>2.04</v>
      </c>
      <c r="N66" s="671"/>
      <c r="O66" s="392">
        <v>4.7</v>
      </c>
      <c r="P66" s="393">
        <v>2.217742493429312</v>
      </c>
      <c r="Q66" s="394">
        <v>6.917742493429312</v>
      </c>
      <c r="R66" s="395"/>
      <c r="S66" s="392">
        <v>12.62</v>
      </c>
      <c r="T66" s="396">
        <v>0.8242945602538498</v>
      </c>
    </row>
    <row r="67" spans="2:20" ht="15" thickBot="1">
      <c r="B67" s="1499"/>
      <c r="C67" s="720" t="s">
        <v>557</v>
      </c>
      <c r="D67" s="721">
        <v>0.2</v>
      </c>
      <c r="E67" s="722">
        <v>0.3</v>
      </c>
      <c r="F67" s="722">
        <v>0.8</v>
      </c>
      <c r="G67" s="722">
        <v>1.1197797565777394</v>
      </c>
      <c r="H67" s="723">
        <v>0.33513352631703847</v>
      </c>
      <c r="I67" s="724">
        <v>0.15</v>
      </c>
      <c r="J67" s="722">
        <v>0.15</v>
      </c>
      <c r="K67" s="722">
        <v>0.15</v>
      </c>
      <c r="L67" s="722">
        <v>0.15</v>
      </c>
      <c r="M67" s="723">
        <v>0.15</v>
      </c>
      <c r="N67" s="671"/>
      <c r="O67" s="392">
        <v>1.3</v>
      </c>
      <c r="P67" s="393">
        <v>1.454913282894778</v>
      </c>
      <c r="Q67" s="394">
        <v>2.7549132828947775</v>
      </c>
      <c r="R67" s="395"/>
      <c r="S67" s="392">
        <v>0.75</v>
      </c>
      <c r="T67" s="396">
        <v>-0.7277591259744034</v>
      </c>
    </row>
    <row r="68" spans="2:20" ht="15.75" thickBot="1">
      <c r="B68" s="725" t="s">
        <v>340</v>
      </c>
      <c r="C68" s="726"/>
      <c r="D68" s="727">
        <v>22.867928048664922</v>
      </c>
      <c r="E68" s="728">
        <v>31.887607124118954</v>
      </c>
      <c r="F68" s="728">
        <v>30.7</v>
      </c>
      <c r="G68" s="728">
        <v>32.405306330365406</v>
      </c>
      <c r="H68" s="729">
        <v>27.780382413887573</v>
      </c>
      <c r="I68" s="730">
        <v>30.69</v>
      </c>
      <c r="J68" s="728">
        <v>35.33</v>
      </c>
      <c r="K68" s="728">
        <v>40.61</v>
      </c>
      <c r="L68" s="728">
        <v>42.69</v>
      </c>
      <c r="M68" s="729">
        <v>43.11</v>
      </c>
      <c r="N68" s="671"/>
      <c r="O68" s="405">
        <v>85.45553517278388</v>
      </c>
      <c r="P68" s="406">
        <v>60.18568874425298</v>
      </c>
      <c r="Q68" s="407">
        <v>145.64122391703685</v>
      </c>
      <c r="R68" s="395"/>
      <c r="S68" s="405">
        <v>192.43</v>
      </c>
      <c r="T68" s="408">
        <v>0.3212605251766899</v>
      </c>
    </row>
    <row r="69" spans="2:20" ht="15">
      <c r="B69" s="702"/>
      <c r="C69" s="702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671"/>
      <c r="O69" s="671"/>
      <c r="P69" s="671"/>
      <c r="Q69" s="671"/>
      <c r="R69" s="704"/>
      <c r="S69" s="704"/>
      <c r="T69" s="704"/>
    </row>
    <row r="70" spans="2:20" ht="14.25"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704"/>
      <c r="S70" s="704"/>
      <c r="T70" s="704"/>
    </row>
    <row r="71" spans="2:20" ht="15">
      <c r="B71" s="669" t="s">
        <v>341</v>
      </c>
      <c r="C71" s="671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395"/>
      <c r="O71" s="671"/>
      <c r="P71" s="671"/>
      <c r="Q71" s="671"/>
      <c r="R71" s="704"/>
      <c r="S71" s="704"/>
      <c r="T71" s="704"/>
    </row>
    <row r="72" spans="2:20" ht="15" thickBot="1">
      <c r="B72" s="671"/>
      <c r="C72" s="671"/>
      <c r="D72" s="671"/>
      <c r="E72" s="671"/>
      <c r="F72" s="671"/>
      <c r="G72" s="671"/>
      <c r="H72" s="671"/>
      <c r="I72" s="671"/>
      <c r="J72" s="671"/>
      <c r="K72" s="671"/>
      <c r="L72" s="671"/>
      <c r="M72" s="671"/>
      <c r="N72" s="395"/>
      <c r="O72" s="671"/>
      <c r="P72" s="671"/>
      <c r="Q72" s="671"/>
      <c r="R72" s="704"/>
      <c r="S72" s="704"/>
      <c r="T72" s="704"/>
    </row>
    <row r="73" spans="2:20" ht="15">
      <c r="B73" s="673" t="s">
        <v>544</v>
      </c>
      <c r="C73" s="674"/>
      <c r="D73" s="676" t="s">
        <v>545</v>
      </c>
      <c r="E73" s="676"/>
      <c r="F73" s="676"/>
      <c r="G73" s="676"/>
      <c r="H73" s="677"/>
      <c r="I73" s="675" t="s">
        <v>546</v>
      </c>
      <c r="J73" s="676"/>
      <c r="K73" s="676"/>
      <c r="L73" s="676"/>
      <c r="M73" s="677"/>
      <c r="N73" s="395"/>
      <c r="O73" s="489" t="s">
        <v>547</v>
      </c>
      <c r="P73" s="490"/>
      <c r="Q73" s="491"/>
      <c r="R73" s="395"/>
      <c r="S73" s="489" t="s">
        <v>548</v>
      </c>
      <c r="T73" s="491"/>
    </row>
    <row r="74" spans="2:20" ht="25.5">
      <c r="B74" s="678"/>
      <c r="C74" s="679"/>
      <c r="D74" s="685" t="s">
        <v>742</v>
      </c>
      <c r="E74" s="681" t="s">
        <v>743</v>
      </c>
      <c r="F74" s="681" t="s">
        <v>739</v>
      </c>
      <c r="G74" s="681" t="s">
        <v>609</v>
      </c>
      <c r="H74" s="682" t="s">
        <v>610</v>
      </c>
      <c r="I74" s="680" t="s">
        <v>549</v>
      </c>
      <c r="J74" s="681" t="s">
        <v>706</v>
      </c>
      <c r="K74" s="681" t="s">
        <v>707</v>
      </c>
      <c r="L74" s="681" t="s">
        <v>708</v>
      </c>
      <c r="M74" s="682" t="s">
        <v>709</v>
      </c>
      <c r="N74" s="395"/>
      <c r="O74" s="493" t="s">
        <v>690</v>
      </c>
      <c r="P74" s="494" t="s">
        <v>691</v>
      </c>
      <c r="Q74" s="495" t="s">
        <v>757</v>
      </c>
      <c r="R74" s="395"/>
      <c r="S74" s="493" t="s">
        <v>691</v>
      </c>
      <c r="T74" s="495" t="s">
        <v>692</v>
      </c>
    </row>
    <row r="75" spans="2:20" ht="18">
      <c r="B75" s="683"/>
      <c r="C75" s="684"/>
      <c r="D75" s="685" t="s">
        <v>593</v>
      </c>
      <c r="E75" s="681" t="s">
        <v>593</v>
      </c>
      <c r="F75" s="681" t="s">
        <v>593</v>
      </c>
      <c r="G75" s="681" t="s">
        <v>593</v>
      </c>
      <c r="H75" s="682" t="s">
        <v>593</v>
      </c>
      <c r="I75" s="680" t="s">
        <v>593</v>
      </c>
      <c r="J75" s="681" t="s">
        <v>593</v>
      </c>
      <c r="K75" s="681" t="s">
        <v>593</v>
      </c>
      <c r="L75" s="681" t="s">
        <v>593</v>
      </c>
      <c r="M75" s="682" t="s">
        <v>593</v>
      </c>
      <c r="N75" s="671"/>
      <c r="O75" s="526"/>
      <c r="P75" s="527"/>
      <c r="Q75" s="528"/>
      <c r="R75" s="395"/>
      <c r="S75" s="500"/>
      <c r="T75" s="501"/>
    </row>
    <row r="76" spans="2:20" ht="14.25">
      <c r="B76" s="1497" t="s">
        <v>714</v>
      </c>
      <c r="C76" s="686" t="s">
        <v>715</v>
      </c>
      <c r="D76" s="705">
        <v>0</v>
      </c>
      <c r="E76" s="705">
        <v>0</v>
      </c>
      <c r="F76" s="705">
        <v>0</v>
      </c>
      <c r="G76" s="705">
        <v>0</v>
      </c>
      <c r="H76" s="706">
        <v>0</v>
      </c>
      <c r="I76" s="707">
        <v>0</v>
      </c>
      <c r="J76" s="708">
        <v>0</v>
      </c>
      <c r="K76" s="708">
        <v>0</v>
      </c>
      <c r="L76" s="708">
        <v>0</v>
      </c>
      <c r="M76" s="709">
        <v>0</v>
      </c>
      <c r="N76" s="671"/>
      <c r="O76" s="392">
        <v>0</v>
      </c>
      <c r="P76" s="393">
        <v>0</v>
      </c>
      <c r="Q76" s="394">
        <v>0</v>
      </c>
      <c r="R76" s="395"/>
      <c r="S76" s="392">
        <v>0</v>
      </c>
      <c r="T76" s="396" t="s">
        <v>28</v>
      </c>
    </row>
    <row r="77" spans="2:20" ht="14.25">
      <c r="B77" s="1498"/>
      <c r="C77" s="690" t="s">
        <v>672</v>
      </c>
      <c r="D77" s="710">
        <v>0</v>
      </c>
      <c r="E77" s="710">
        <v>0</v>
      </c>
      <c r="F77" s="710">
        <v>0</v>
      </c>
      <c r="G77" s="710">
        <v>0</v>
      </c>
      <c r="H77" s="711">
        <v>0</v>
      </c>
      <c r="I77" s="712">
        <v>0</v>
      </c>
      <c r="J77" s="713">
        <v>0</v>
      </c>
      <c r="K77" s="713">
        <v>0</v>
      </c>
      <c r="L77" s="713">
        <v>0</v>
      </c>
      <c r="M77" s="714">
        <v>0</v>
      </c>
      <c r="N77" s="671"/>
      <c r="O77" s="392">
        <v>0</v>
      </c>
      <c r="P77" s="393">
        <v>0</v>
      </c>
      <c r="Q77" s="394">
        <v>0</v>
      </c>
      <c r="R77" s="395"/>
      <c r="S77" s="392">
        <v>0</v>
      </c>
      <c r="T77" s="396" t="s">
        <v>28</v>
      </c>
    </row>
    <row r="78" spans="2:20" ht="14.25">
      <c r="B78" s="1498" t="s">
        <v>673</v>
      </c>
      <c r="C78" s="690" t="s">
        <v>715</v>
      </c>
      <c r="D78" s="710">
        <v>0</v>
      </c>
      <c r="E78" s="710">
        <v>0</v>
      </c>
      <c r="F78" s="710">
        <v>0</v>
      </c>
      <c r="G78" s="710">
        <v>0</v>
      </c>
      <c r="H78" s="711">
        <v>0</v>
      </c>
      <c r="I78" s="712">
        <v>0</v>
      </c>
      <c r="J78" s="713">
        <v>0</v>
      </c>
      <c r="K78" s="713">
        <v>0</v>
      </c>
      <c r="L78" s="713">
        <v>0</v>
      </c>
      <c r="M78" s="714">
        <v>0</v>
      </c>
      <c r="N78" s="671"/>
      <c r="O78" s="392">
        <v>0</v>
      </c>
      <c r="P78" s="393">
        <v>0</v>
      </c>
      <c r="Q78" s="394">
        <v>0</v>
      </c>
      <c r="R78" s="395"/>
      <c r="S78" s="392">
        <v>0</v>
      </c>
      <c r="T78" s="396" t="s">
        <v>28</v>
      </c>
    </row>
    <row r="79" spans="2:20" ht="14.25">
      <c r="B79" s="1498"/>
      <c r="C79" s="690" t="s">
        <v>672</v>
      </c>
      <c r="D79" s="710">
        <v>0</v>
      </c>
      <c r="E79" s="710">
        <v>0</v>
      </c>
      <c r="F79" s="710">
        <v>0</v>
      </c>
      <c r="G79" s="710">
        <v>0</v>
      </c>
      <c r="H79" s="711">
        <v>0</v>
      </c>
      <c r="I79" s="712">
        <v>0</v>
      </c>
      <c r="J79" s="713">
        <v>0</v>
      </c>
      <c r="K79" s="713">
        <v>0</v>
      </c>
      <c r="L79" s="713">
        <v>0</v>
      </c>
      <c r="M79" s="714">
        <v>0</v>
      </c>
      <c r="N79" s="671"/>
      <c r="O79" s="392">
        <v>0</v>
      </c>
      <c r="P79" s="393">
        <v>0</v>
      </c>
      <c r="Q79" s="394">
        <v>0</v>
      </c>
      <c r="R79" s="395"/>
      <c r="S79" s="392">
        <v>0</v>
      </c>
      <c r="T79" s="396" t="s">
        <v>28</v>
      </c>
    </row>
    <row r="80" spans="2:20" ht="14.25">
      <c r="B80" s="1494" t="s">
        <v>532</v>
      </c>
      <c r="C80" s="690" t="s">
        <v>693</v>
      </c>
      <c r="D80" s="710">
        <v>0</v>
      </c>
      <c r="E80" s="710">
        <v>0</v>
      </c>
      <c r="F80" s="710">
        <v>0</v>
      </c>
      <c r="G80" s="710">
        <v>0</v>
      </c>
      <c r="H80" s="711">
        <v>0</v>
      </c>
      <c r="I80" s="712">
        <v>0</v>
      </c>
      <c r="J80" s="713">
        <v>0</v>
      </c>
      <c r="K80" s="713">
        <v>0</v>
      </c>
      <c r="L80" s="713">
        <v>0</v>
      </c>
      <c r="M80" s="714">
        <v>0</v>
      </c>
      <c r="N80" s="671"/>
      <c r="O80" s="392">
        <v>0</v>
      </c>
      <c r="P80" s="393">
        <v>0</v>
      </c>
      <c r="Q80" s="394">
        <v>0</v>
      </c>
      <c r="R80" s="395"/>
      <c r="S80" s="392">
        <v>0</v>
      </c>
      <c r="T80" s="396" t="s">
        <v>28</v>
      </c>
    </row>
    <row r="81" spans="2:20" ht="14.25">
      <c r="B81" s="1494"/>
      <c r="C81" s="690" t="s">
        <v>566</v>
      </c>
      <c r="D81" s="710">
        <v>1.3</v>
      </c>
      <c r="E81" s="710">
        <v>1.9</v>
      </c>
      <c r="F81" s="710">
        <v>1.3</v>
      </c>
      <c r="G81" s="710">
        <v>1.5</v>
      </c>
      <c r="H81" s="711">
        <v>1.5</v>
      </c>
      <c r="I81" s="712">
        <v>1.5</v>
      </c>
      <c r="J81" s="713">
        <v>1.5</v>
      </c>
      <c r="K81" s="713">
        <v>1.5</v>
      </c>
      <c r="L81" s="713">
        <v>1.5</v>
      </c>
      <c r="M81" s="714">
        <v>1.5</v>
      </c>
      <c r="N81" s="671"/>
      <c r="O81" s="392">
        <v>4.5</v>
      </c>
      <c r="P81" s="393">
        <v>3</v>
      </c>
      <c r="Q81" s="394">
        <v>7.5</v>
      </c>
      <c r="R81" s="395"/>
      <c r="S81" s="392">
        <v>7.5</v>
      </c>
      <c r="T81" s="396">
        <v>0</v>
      </c>
    </row>
    <row r="82" spans="2:20" ht="14.25">
      <c r="B82" s="1494"/>
      <c r="C82" s="694" t="s">
        <v>643</v>
      </c>
      <c r="D82" s="710">
        <v>0</v>
      </c>
      <c r="E82" s="710">
        <v>0</v>
      </c>
      <c r="F82" s="710">
        <v>0</v>
      </c>
      <c r="G82" s="710">
        <v>0</v>
      </c>
      <c r="H82" s="711">
        <v>0</v>
      </c>
      <c r="I82" s="712">
        <v>0</v>
      </c>
      <c r="J82" s="713">
        <v>0</v>
      </c>
      <c r="K82" s="713">
        <v>0</v>
      </c>
      <c r="L82" s="713">
        <v>0</v>
      </c>
      <c r="M82" s="714">
        <v>0</v>
      </c>
      <c r="N82" s="671"/>
      <c r="O82" s="392">
        <v>0</v>
      </c>
      <c r="P82" s="393">
        <v>0</v>
      </c>
      <c r="Q82" s="394">
        <v>0</v>
      </c>
      <c r="R82" s="395"/>
      <c r="S82" s="392">
        <v>0</v>
      </c>
      <c r="T82" s="396" t="s">
        <v>28</v>
      </c>
    </row>
    <row r="83" spans="2:20" ht="14.25">
      <c r="B83" s="1494" t="s">
        <v>750</v>
      </c>
      <c r="C83" s="690" t="s">
        <v>644</v>
      </c>
      <c r="D83" s="710">
        <v>0</v>
      </c>
      <c r="E83" s="710">
        <v>0</v>
      </c>
      <c r="F83" s="710">
        <v>0</v>
      </c>
      <c r="G83" s="710">
        <v>0</v>
      </c>
      <c r="H83" s="711">
        <v>0</v>
      </c>
      <c r="I83" s="712">
        <v>0</v>
      </c>
      <c r="J83" s="713">
        <v>0</v>
      </c>
      <c r="K83" s="713">
        <v>0</v>
      </c>
      <c r="L83" s="713">
        <v>0</v>
      </c>
      <c r="M83" s="714">
        <v>0</v>
      </c>
      <c r="N83" s="671"/>
      <c r="O83" s="392">
        <v>0</v>
      </c>
      <c r="P83" s="393">
        <v>0</v>
      </c>
      <c r="Q83" s="394">
        <v>0</v>
      </c>
      <c r="R83" s="395"/>
      <c r="S83" s="392">
        <v>0</v>
      </c>
      <c r="T83" s="396" t="s">
        <v>28</v>
      </c>
    </row>
    <row r="84" spans="2:20" ht="14.25">
      <c r="B84" s="1494"/>
      <c r="C84" s="690" t="s">
        <v>432</v>
      </c>
      <c r="D84" s="710">
        <v>0</v>
      </c>
      <c r="E84" s="710">
        <v>0</v>
      </c>
      <c r="F84" s="710">
        <v>0.6</v>
      </c>
      <c r="G84" s="710">
        <v>0.6</v>
      </c>
      <c r="H84" s="711">
        <v>0.6</v>
      </c>
      <c r="I84" s="712">
        <v>0.6</v>
      </c>
      <c r="J84" s="713">
        <v>0.6</v>
      </c>
      <c r="K84" s="713">
        <v>0.6</v>
      </c>
      <c r="L84" s="713">
        <v>0.6</v>
      </c>
      <c r="M84" s="714">
        <v>0.6</v>
      </c>
      <c r="N84" s="671"/>
      <c r="O84" s="392">
        <v>0.6</v>
      </c>
      <c r="P84" s="393">
        <v>1.2</v>
      </c>
      <c r="Q84" s="394">
        <v>1.8</v>
      </c>
      <c r="R84" s="395"/>
      <c r="S84" s="392">
        <v>3</v>
      </c>
      <c r="T84" s="396">
        <v>0.6666666666666669</v>
      </c>
    </row>
    <row r="85" spans="2:20" ht="14.25">
      <c r="B85" s="1494"/>
      <c r="C85" s="694" t="s">
        <v>551</v>
      </c>
      <c r="D85" s="710">
        <v>0</v>
      </c>
      <c r="E85" s="710">
        <v>0</v>
      </c>
      <c r="F85" s="710">
        <v>0</v>
      </c>
      <c r="G85" s="710">
        <v>0</v>
      </c>
      <c r="H85" s="711">
        <v>0</v>
      </c>
      <c r="I85" s="712">
        <v>0</v>
      </c>
      <c r="J85" s="713">
        <v>0</v>
      </c>
      <c r="K85" s="713">
        <v>0</v>
      </c>
      <c r="L85" s="713">
        <v>0</v>
      </c>
      <c r="M85" s="714">
        <v>0</v>
      </c>
      <c r="N85" s="671"/>
      <c r="O85" s="392">
        <v>0</v>
      </c>
      <c r="P85" s="393">
        <v>0</v>
      </c>
      <c r="Q85" s="394">
        <v>0</v>
      </c>
      <c r="R85" s="395"/>
      <c r="S85" s="392">
        <v>0</v>
      </c>
      <c r="T85" s="396" t="s">
        <v>28</v>
      </c>
    </row>
    <row r="86" spans="2:20" ht="14.25">
      <c r="B86" s="1494"/>
      <c r="C86" s="694" t="s">
        <v>643</v>
      </c>
      <c r="D86" s="710">
        <v>0</v>
      </c>
      <c r="E86" s="710">
        <v>0</v>
      </c>
      <c r="F86" s="710">
        <v>0.1</v>
      </c>
      <c r="G86" s="710">
        <v>0.1</v>
      </c>
      <c r="H86" s="711">
        <v>0.1</v>
      </c>
      <c r="I86" s="712">
        <v>0.1</v>
      </c>
      <c r="J86" s="713">
        <v>0.1</v>
      </c>
      <c r="K86" s="713">
        <v>0.1</v>
      </c>
      <c r="L86" s="713">
        <v>0.1</v>
      </c>
      <c r="M86" s="714">
        <v>0.1</v>
      </c>
      <c r="N86" s="671"/>
      <c r="O86" s="392">
        <v>0.1</v>
      </c>
      <c r="P86" s="393">
        <v>0.2</v>
      </c>
      <c r="Q86" s="394">
        <v>0.3</v>
      </c>
      <c r="R86" s="395"/>
      <c r="S86" s="392">
        <v>0.5</v>
      </c>
      <c r="T86" s="396">
        <v>0.6666666666666664</v>
      </c>
    </row>
    <row r="87" spans="2:20" ht="14.25">
      <c r="B87" s="1494"/>
      <c r="C87" s="690" t="s">
        <v>556</v>
      </c>
      <c r="D87" s="710">
        <v>0</v>
      </c>
      <c r="E87" s="710">
        <v>0</v>
      </c>
      <c r="F87" s="710">
        <v>0.3</v>
      </c>
      <c r="G87" s="710">
        <v>0.3</v>
      </c>
      <c r="H87" s="711">
        <v>0.3</v>
      </c>
      <c r="I87" s="712">
        <v>0.3</v>
      </c>
      <c r="J87" s="713">
        <v>0.3</v>
      </c>
      <c r="K87" s="713">
        <v>0.3</v>
      </c>
      <c r="L87" s="713">
        <v>0.3</v>
      </c>
      <c r="M87" s="714">
        <v>0.3</v>
      </c>
      <c r="N87" s="671"/>
      <c r="O87" s="392">
        <v>0.3</v>
      </c>
      <c r="P87" s="393">
        <v>0.6</v>
      </c>
      <c r="Q87" s="394">
        <v>0.9</v>
      </c>
      <c r="R87" s="395"/>
      <c r="S87" s="392">
        <v>1.5</v>
      </c>
      <c r="T87" s="396">
        <v>0.6666666666666669</v>
      </c>
    </row>
    <row r="88" spans="2:20" ht="14.25">
      <c r="B88" s="1494"/>
      <c r="C88" s="690" t="s">
        <v>557</v>
      </c>
      <c r="D88" s="710">
        <v>0</v>
      </c>
      <c r="E88" s="710">
        <v>0</v>
      </c>
      <c r="F88" s="710">
        <v>0</v>
      </c>
      <c r="G88" s="710">
        <v>0</v>
      </c>
      <c r="H88" s="711">
        <v>0</v>
      </c>
      <c r="I88" s="712">
        <v>0</v>
      </c>
      <c r="J88" s="713">
        <v>0</v>
      </c>
      <c r="K88" s="713">
        <v>0</v>
      </c>
      <c r="L88" s="713">
        <v>0</v>
      </c>
      <c r="M88" s="714">
        <v>0</v>
      </c>
      <c r="N88" s="671"/>
      <c r="O88" s="392">
        <v>0</v>
      </c>
      <c r="P88" s="393">
        <v>0</v>
      </c>
      <c r="Q88" s="394">
        <v>0</v>
      </c>
      <c r="R88" s="395"/>
      <c r="S88" s="392">
        <v>0</v>
      </c>
      <c r="T88" s="396" t="s">
        <v>28</v>
      </c>
    </row>
    <row r="89" spans="2:20" ht="14.25">
      <c r="B89" s="1494" t="s">
        <v>756</v>
      </c>
      <c r="C89" s="690" t="s">
        <v>644</v>
      </c>
      <c r="D89" s="710">
        <v>0</v>
      </c>
      <c r="E89" s="710">
        <v>0</v>
      </c>
      <c r="F89" s="710">
        <v>0</v>
      </c>
      <c r="G89" s="710">
        <v>0</v>
      </c>
      <c r="H89" s="711">
        <v>0</v>
      </c>
      <c r="I89" s="712">
        <v>0</v>
      </c>
      <c r="J89" s="713">
        <v>0</v>
      </c>
      <c r="K89" s="713">
        <v>0</v>
      </c>
      <c r="L89" s="713">
        <v>0</v>
      </c>
      <c r="M89" s="714">
        <v>0</v>
      </c>
      <c r="N89" s="671"/>
      <c r="O89" s="392">
        <v>0</v>
      </c>
      <c r="P89" s="393">
        <v>0</v>
      </c>
      <c r="Q89" s="394">
        <v>0</v>
      </c>
      <c r="R89" s="395"/>
      <c r="S89" s="392">
        <v>0</v>
      </c>
      <c r="T89" s="396" t="s">
        <v>28</v>
      </c>
    </row>
    <row r="90" spans="2:20" ht="14.25">
      <c r="B90" s="1494"/>
      <c r="C90" s="690" t="s">
        <v>432</v>
      </c>
      <c r="D90" s="710">
        <v>0</v>
      </c>
      <c r="E90" s="710">
        <v>0</v>
      </c>
      <c r="F90" s="710">
        <v>0.2</v>
      </c>
      <c r="G90" s="710">
        <v>0.2</v>
      </c>
      <c r="H90" s="711">
        <v>0.2</v>
      </c>
      <c r="I90" s="712">
        <v>0.2</v>
      </c>
      <c r="J90" s="713">
        <v>0.2</v>
      </c>
      <c r="K90" s="713">
        <v>0.2</v>
      </c>
      <c r="L90" s="713">
        <v>0.2</v>
      </c>
      <c r="M90" s="714">
        <v>0.2</v>
      </c>
      <c r="N90" s="671"/>
      <c r="O90" s="392">
        <v>0.2</v>
      </c>
      <c r="P90" s="393">
        <v>0.4</v>
      </c>
      <c r="Q90" s="394">
        <v>0.6</v>
      </c>
      <c r="R90" s="395"/>
      <c r="S90" s="392">
        <v>1</v>
      </c>
      <c r="T90" s="396">
        <v>0.6666666666666664</v>
      </c>
    </row>
    <row r="91" spans="2:20" ht="14.25">
      <c r="B91" s="1494"/>
      <c r="C91" s="690" t="s">
        <v>551</v>
      </c>
      <c r="D91" s="710">
        <v>0</v>
      </c>
      <c r="E91" s="710">
        <v>0</v>
      </c>
      <c r="F91" s="710">
        <v>0</v>
      </c>
      <c r="G91" s="710">
        <v>0</v>
      </c>
      <c r="H91" s="711">
        <v>0</v>
      </c>
      <c r="I91" s="712">
        <v>0.6</v>
      </c>
      <c r="J91" s="713">
        <v>0.6</v>
      </c>
      <c r="K91" s="713">
        <v>0.7</v>
      </c>
      <c r="L91" s="713">
        <v>0.7</v>
      </c>
      <c r="M91" s="714">
        <v>0.8</v>
      </c>
      <c r="N91" s="671"/>
      <c r="O91" s="392">
        <v>0</v>
      </c>
      <c r="P91" s="393">
        <v>0</v>
      </c>
      <c r="Q91" s="394">
        <v>0</v>
      </c>
      <c r="R91" s="395"/>
      <c r="S91" s="392">
        <v>3.4</v>
      </c>
      <c r="T91" s="396" t="s">
        <v>28</v>
      </c>
    </row>
    <row r="92" spans="2:20" ht="14.25">
      <c r="B92" s="1494"/>
      <c r="C92" s="690" t="s">
        <v>643</v>
      </c>
      <c r="D92" s="710">
        <v>0</v>
      </c>
      <c r="E92" s="710">
        <v>0</v>
      </c>
      <c r="F92" s="710">
        <v>0</v>
      </c>
      <c r="G92" s="710">
        <v>0</v>
      </c>
      <c r="H92" s="711">
        <v>0</v>
      </c>
      <c r="I92" s="712">
        <v>0</v>
      </c>
      <c r="J92" s="713">
        <v>0</v>
      </c>
      <c r="K92" s="713">
        <v>0</v>
      </c>
      <c r="L92" s="713">
        <v>0</v>
      </c>
      <c r="M92" s="714">
        <v>0</v>
      </c>
      <c r="N92" s="671"/>
      <c r="O92" s="392">
        <v>0</v>
      </c>
      <c r="P92" s="393">
        <v>0</v>
      </c>
      <c r="Q92" s="394">
        <v>0</v>
      </c>
      <c r="R92" s="395"/>
      <c r="S92" s="392">
        <v>0</v>
      </c>
      <c r="T92" s="396" t="s">
        <v>28</v>
      </c>
    </row>
    <row r="93" spans="2:20" ht="14.25">
      <c r="B93" s="1494"/>
      <c r="C93" s="690" t="s">
        <v>556</v>
      </c>
      <c r="D93" s="710">
        <v>0</v>
      </c>
      <c r="E93" s="710">
        <v>0</v>
      </c>
      <c r="F93" s="710">
        <v>0</v>
      </c>
      <c r="G93" s="710">
        <v>0</v>
      </c>
      <c r="H93" s="711">
        <v>0</v>
      </c>
      <c r="I93" s="712">
        <v>0</v>
      </c>
      <c r="J93" s="713">
        <v>0</v>
      </c>
      <c r="K93" s="713">
        <v>0</v>
      </c>
      <c r="L93" s="713">
        <v>0</v>
      </c>
      <c r="M93" s="714">
        <v>0</v>
      </c>
      <c r="N93" s="671"/>
      <c r="O93" s="392">
        <v>0</v>
      </c>
      <c r="P93" s="393">
        <v>0</v>
      </c>
      <c r="Q93" s="394">
        <v>0</v>
      </c>
      <c r="R93" s="395"/>
      <c r="S93" s="392">
        <v>0</v>
      </c>
      <c r="T93" s="396" t="s">
        <v>28</v>
      </c>
    </row>
    <row r="94" spans="2:20" ht="14.25">
      <c r="B94" s="1494"/>
      <c r="C94" s="695" t="s">
        <v>557</v>
      </c>
      <c r="D94" s="710">
        <v>0</v>
      </c>
      <c r="E94" s="710">
        <v>0</v>
      </c>
      <c r="F94" s="710">
        <v>0</v>
      </c>
      <c r="G94" s="710">
        <v>0</v>
      </c>
      <c r="H94" s="711">
        <v>0</v>
      </c>
      <c r="I94" s="712">
        <v>0</v>
      </c>
      <c r="J94" s="713">
        <v>0</v>
      </c>
      <c r="K94" s="713">
        <v>0</v>
      </c>
      <c r="L94" s="713">
        <v>0</v>
      </c>
      <c r="M94" s="714">
        <v>0</v>
      </c>
      <c r="N94" s="671"/>
      <c r="O94" s="392">
        <v>0</v>
      </c>
      <c r="P94" s="393">
        <v>0</v>
      </c>
      <c r="Q94" s="394">
        <v>0</v>
      </c>
      <c r="R94" s="395"/>
      <c r="S94" s="392">
        <v>0</v>
      </c>
      <c r="T94" s="396" t="s">
        <v>28</v>
      </c>
    </row>
    <row r="95" spans="2:20" ht="14.25">
      <c r="B95" s="1494" t="s">
        <v>754</v>
      </c>
      <c r="C95" s="696" t="s">
        <v>644</v>
      </c>
      <c r="D95" s="710">
        <v>0</v>
      </c>
      <c r="E95" s="710">
        <v>0</v>
      </c>
      <c r="F95" s="710">
        <v>0</v>
      </c>
      <c r="G95" s="710">
        <v>0</v>
      </c>
      <c r="H95" s="711">
        <v>0</v>
      </c>
      <c r="I95" s="712">
        <v>0</v>
      </c>
      <c r="J95" s="713">
        <v>0</v>
      </c>
      <c r="K95" s="713">
        <v>0</v>
      </c>
      <c r="L95" s="713">
        <v>0</v>
      </c>
      <c r="M95" s="714">
        <v>0</v>
      </c>
      <c r="N95" s="671"/>
      <c r="O95" s="392">
        <v>0</v>
      </c>
      <c r="P95" s="393">
        <v>0</v>
      </c>
      <c r="Q95" s="394">
        <v>0</v>
      </c>
      <c r="R95" s="395"/>
      <c r="S95" s="392">
        <v>0</v>
      </c>
      <c r="T95" s="396" t="s">
        <v>28</v>
      </c>
    </row>
    <row r="96" spans="2:20" ht="14.25">
      <c r="B96" s="1494"/>
      <c r="C96" s="690" t="s">
        <v>432</v>
      </c>
      <c r="D96" s="710">
        <v>0</v>
      </c>
      <c r="E96" s="710">
        <v>0</v>
      </c>
      <c r="F96" s="710">
        <v>0</v>
      </c>
      <c r="G96" s="710">
        <v>0</v>
      </c>
      <c r="H96" s="711">
        <v>0</v>
      </c>
      <c r="I96" s="712">
        <v>0</v>
      </c>
      <c r="J96" s="713">
        <v>0</v>
      </c>
      <c r="K96" s="713">
        <v>0</v>
      </c>
      <c r="L96" s="713">
        <v>0</v>
      </c>
      <c r="M96" s="714">
        <v>0</v>
      </c>
      <c r="N96" s="671"/>
      <c r="O96" s="392">
        <v>0</v>
      </c>
      <c r="P96" s="393">
        <v>0</v>
      </c>
      <c r="Q96" s="394">
        <v>0</v>
      </c>
      <c r="R96" s="395"/>
      <c r="S96" s="392">
        <v>0</v>
      </c>
      <c r="T96" s="396" t="s">
        <v>28</v>
      </c>
    </row>
    <row r="97" spans="2:20" ht="14.25">
      <c r="B97" s="1494"/>
      <c r="C97" s="695" t="s">
        <v>569</v>
      </c>
      <c r="D97" s="710">
        <v>0</v>
      </c>
      <c r="E97" s="710">
        <v>0</v>
      </c>
      <c r="F97" s="710">
        <v>0</v>
      </c>
      <c r="G97" s="710">
        <v>0</v>
      </c>
      <c r="H97" s="711">
        <v>0</v>
      </c>
      <c r="I97" s="712">
        <v>0</v>
      </c>
      <c r="J97" s="713">
        <v>0</v>
      </c>
      <c r="K97" s="713">
        <v>0</v>
      </c>
      <c r="L97" s="713">
        <v>0</v>
      </c>
      <c r="M97" s="714">
        <v>0</v>
      </c>
      <c r="N97" s="671"/>
      <c r="O97" s="392">
        <v>0</v>
      </c>
      <c r="P97" s="393">
        <v>0</v>
      </c>
      <c r="Q97" s="394">
        <v>0</v>
      </c>
      <c r="R97" s="395"/>
      <c r="S97" s="392">
        <v>0</v>
      </c>
      <c r="T97" s="396" t="s">
        <v>28</v>
      </c>
    </row>
    <row r="98" spans="2:20" ht="14.25">
      <c r="B98" s="1494"/>
      <c r="C98" s="695" t="s">
        <v>643</v>
      </c>
      <c r="D98" s="710">
        <v>0</v>
      </c>
      <c r="E98" s="710">
        <v>0</v>
      </c>
      <c r="F98" s="710">
        <v>0</v>
      </c>
      <c r="G98" s="710">
        <v>0</v>
      </c>
      <c r="H98" s="711">
        <v>0</v>
      </c>
      <c r="I98" s="712">
        <v>0</v>
      </c>
      <c r="J98" s="713">
        <v>0</v>
      </c>
      <c r="K98" s="713">
        <v>0</v>
      </c>
      <c r="L98" s="713">
        <v>0</v>
      </c>
      <c r="M98" s="714">
        <v>0</v>
      </c>
      <c r="N98" s="671"/>
      <c r="O98" s="392">
        <v>0</v>
      </c>
      <c r="P98" s="393">
        <v>0</v>
      </c>
      <c r="Q98" s="394">
        <v>0</v>
      </c>
      <c r="R98" s="395"/>
      <c r="S98" s="392">
        <v>0</v>
      </c>
      <c r="T98" s="396" t="s">
        <v>28</v>
      </c>
    </row>
    <row r="99" spans="2:20" ht="14.25">
      <c r="B99" s="1494"/>
      <c r="C99" s="695" t="s">
        <v>556</v>
      </c>
      <c r="D99" s="710">
        <v>0</v>
      </c>
      <c r="E99" s="710">
        <v>0</v>
      </c>
      <c r="F99" s="710">
        <v>0</v>
      </c>
      <c r="G99" s="710">
        <v>0</v>
      </c>
      <c r="H99" s="711">
        <v>0</v>
      </c>
      <c r="I99" s="712">
        <v>0</v>
      </c>
      <c r="J99" s="713">
        <v>0</v>
      </c>
      <c r="K99" s="713">
        <v>0</v>
      </c>
      <c r="L99" s="713">
        <v>0</v>
      </c>
      <c r="M99" s="714">
        <v>0</v>
      </c>
      <c r="N99" s="671"/>
      <c r="O99" s="392">
        <v>0</v>
      </c>
      <c r="P99" s="393">
        <v>0</v>
      </c>
      <c r="Q99" s="394">
        <v>0</v>
      </c>
      <c r="R99" s="395"/>
      <c r="S99" s="392">
        <v>0</v>
      </c>
      <c r="T99" s="396" t="s">
        <v>28</v>
      </c>
    </row>
    <row r="100" spans="2:20" ht="14.25">
      <c r="B100" s="1494"/>
      <c r="C100" s="695" t="s">
        <v>557</v>
      </c>
      <c r="D100" s="710">
        <v>0</v>
      </c>
      <c r="E100" s="710">
        <v>0</v>
      </c>
      <c r="F100" s="710">
        <v>0</v>
      </c>
      <c r="G100" s="710">
        <v>0</v>
      </c>
      <c r="H100" s="711">
        <v>0</v>
      </c>
      <c r="I100" s="712">
        <v>0</v>
      </c>
      <c r="J100" s="713">
        <v>0</v>
      </c>
      <c r="K100" s="713">
        <v>0</v>
      </c>
      <c r="L100" s="713">
        <v>0</v>
      </c>
      <c r="M100" s="714">
        <v>0</v>
      </c>
      <c r="N100" s="671"/>
      <c r="O100" s="392">
        <v>0</v>
      </c>
      <c r="P100" s="393">
        <v>0</v>
      </c>
      <c r="Q100" s="394">
        <v>0</v>
      </c>
      <c r="R100" s="395"/>
      <c r="S100" s="392">
        <v>0</v>
      </c>
      <c r="T100" s="396" t="s">
        <v>28</v>
      </c>
    </row>
    <row r="101" spans="2:20" ht="15.75" thickBot="1">
      <c r="B101" s="697" t="s">
        <v>342</v>
      </c>
      <c r="C101" s="698"/>
      <c r="D101" s="731">
        <v>1.3</v>
      </c>
      <c r="E101" s="732">
        <v>1.9</v>
      </c>
      <c r="F101" s="732">
        <v>2.5</v>
      </c>
      <c r="G101" s="732">
        <v>2.7</v>
      </c>
      <c r="H101" s="733">
        <v>2.7</v>
      </c>
      <c r="I101" s="734">
        <v>3.3</v>
      </c>
      <c r="J101" s="732">
        <v>3.3</v>
      </c>
      <c r="K101" s="732">
        <v>3.4</v>
      </c>
      <c r="L101" s="732">
        <v>3.4</v>
      </c>
      <c r="M101" s="733">
        <v>3.5</v>
      </c>
      <c r="N101" s="671"/>
      <c r="O101" s="405">
        <v>5.7</v>
      </c>
      <c r="P101" s="406">
        <v>5.4</v>
      </c>
      <c r="Q101" s="407">
        <v>11.1</v>
      </c>
      <c r="R101" s="395"/>
      <c r="S101" s="405">
        <v>16.9</v>
      </c>
      <c r="T101" s="408">
        <v>0.5225225225225222</v>
      </c>
    </row>
    <row r="102" spans="2:20" ht="14.25">
      <c r="B102" s="671"/>
      <c r="C102" s="671"/>
      <c r="D102" s="671"/>
      <c r="E102" s="671"/>
      <c r="F102" s="671"/>
      <c r="G102" s="671"/>
      <c r="H102" s="671"/>
      <c r="I102" s="671"/>
      <c r="J102" s="671"/>
      <c r="K102" s="671"/>
      <c r="L102" s="671"/>
      <c r="M102" s="671"/>
      <c r="N102" s="671"/>
      <c r="O102" s="671"/>
      <c r="P102" s="671"/>
      <c r="Q102" s="671"/>
      <c r="R102" s="704"/>
      <c r="S102" s="704"/>
      <c r="T102" s="704"/>
    </row>
    <row r="103" spans="2:20" ht="14.25">
      <c r="B103" s="671"/>
      <c r="C103" s="671"/>
      <c r="D103" s="671"/>
      <c r="E103" s="671"/>
      <c r="F103" s="671"/>
      <c r="G103" s="671"/>
      <c r="H103" s="671"/>
      <c r="I103" s="671"/>
      <c r="J103" s="671"/>
      <c r="K103" s="671"/>
      <c r="L103" s="671"/>
      <c r="M103" s="671"/>
      <c r="N103" s="671"/>
      <c r="O103" s="671"/>
      <c r="P103" s="671"/>
      <c r="Q103" s="671"/>
      <c r="R103" s="704"/>
      <c r="S103" s="704"/>
      <c r="T103" s="704"/>
    </row>
    <row r="104" spans="2:20" ht="15">
      <c r="B104" s="669" t="s">
        <v>343</v>
      </c>
      <c r="C104" s="671"/>
      <c r="D104" s="671"/>
      <c r="E104" s="671"/>
      <c r="F104" s="671"/>
      <c r="G104" s="671"/>
      <c r="H104" s="671"/>
      <c r="I104" s="671"/>
      <c r="J104" s="671"/>
      <c r="K104" s="671"/>
      <c r="L104" s="671"/>
      <c r="M104" s="671"/>
      <c r="N104" s="671"/>
      <c r="O104" s="671"/>
      <c r="P104" s="671"/>
      <c r="Q104" s="671"/>
      <c r="R104" s="704"/>
      <c r="S104" s="704"/>
      <c r="T104" s="704"/>
    </row>
    <row r="105" spans="2:20" ht="15" thickBot="1">
      <c r="B105" s="671"/>
      <c r="C105" s="671"/>
      <c r="D105" s="671"/>
      <c r="E105" s="671"/>
      <c r="F105" s="671"/>
      <c r="G105" s="671"/>
      <c r="H105" s="671"/>
      <c r="I105" s="671"/>
      <c r="J105" s="671"/>
      <c r="K105" s="671"/>
      <c r="L105" s="671"/>
      <c r="M105" s="671"/>
      <c r="N105" s="671"/>
      <c r="O105" s="671"/>
      <c r="P105" s="671"/>
      <c r="Q105" s="671"/>
      <c r="R105" s="704"/>
      <c r="S105" s="704"/>
      <c r="T105" s="704"/>
    </row>
    <row r="106" spans="2:20" ht="15">
      <c r="B106" s="673" t="s">
        <v>544</v>
      </c>
      <c r="C106" s="674"/>
      <c r="D106" s="676" t="s">
        <v>545</v>
      </c>
      <c r="E106" s="676"/>
      <c r="F106" s="676"/>
      <c r="G106" s="676"/>
      <c r="H106" s="677"/>
      <c r="I106" s="675" t="s">
        <v>546</v>
      </c>
      <c r="J106" s="676"/>
      <c r="K106" s="676"/>
      <c r="L106" s="676"/>
      <c r="M106" s="677"/>
      <c r="N106" s="671"/>
      <c r="O106" s="489" t="s">
        <v>547</v>
      </c>
      <c r="P106" s="490"/>
      <c r="Q106" s="491"/>
      <c r="R106" s="395"/>
      <c r="S106" s="489" t="s">
        <v>548</v>
      </c>
      <c r="T106" s="491"/>
    </row>
    <row r="107" spans="2:20" ht="25.5">
      <c r="B107" s="678"/>
      <c r="C107" s="679"/>
      <c r="D107" s="685" t="s">
        <v>742</v>
      </c>
      <c r="E107" s="681" t="s">
        <v>743</v>
      </c>
      <c r="F107" s="681" t="s">
        <v>739</v>
      </c>
      <c r="G107" s="681" t="s">
        <v>609</v>
      </c>
      <c r="H107" s="682" t="s">
        <v>610</v>
      </c>
      <c r="I107" s="680" t="s">
        <v>549</v>
      </c>
      <c r="J107" s="681" t="s">
        <v>706</v>
      </c>
      <c r="K107" s="681" t="s">
        <v>707</v>
      </c>
      <c r="L107" s="681" t="s">
        <v>708</v>
      </c>
      <c r="M107" s="682" t="s">
        <v>344</v>
      </c>
      <c r="N107" s="671"/>
      <c r="O107" s="493" t="s">
        <v>690</v>
      </c>
      <c r="P107" s="494" t="s">
        <v>691</v>
      </c>
      <c r="Q107" s="495" t="s">
        <v>757</v>
      </c>
      <c r="R107" s="395"/>
      <c r="S107" s="493" t="s">
        <v>691</v>
      </c>
      <c r="T107" s="495" t="s">
        <v>692</v>
      </c>
    </row>
    <row r="108" spans="2:20" ht="18">
      <c r="B108" s="683"/>
      <c r="C108" s="684"/>
      <c r="D108" s="685" t="s">
        <v>593</v>
      </c>
      <c r="E108" s="681" t="s">
        <v>593</v>
      </c>
      <c r="F108" s="681" t="s">
        <v>593</v>
      </c>
      <c r="G108" s="681" t="s">
        <v>593</v>
      </c>
      <c r="H108" s="682" t="s">
        <v>593</v>
      </c>
      <c r="I108" s="680" t="s">
        <v>593</v>
      </c>
      <c r="J108" s="681" t="s">
        <v>593</v>
      </c>
      <c r="K108" s="681" t="s">
        <v>593</v>
      </c>
      <c r="L108" s="681" t="s">
        <v>593</v>
      </c>
      <c r="M108" s="682" t="s">
        <v>593</v>
      </c>
      <c r="N108" s="671"/>
      <c r="O108" s="526"/>
      <c r="P108" s="527"/>
      <c r="Q108" s="528"/>
      <c r="R108" s="395"/>
      <c r="S108" s="500"/>
      <c r="T108" s="501"/>
    </row>
    <row r="109" spans="2:20" ht="14.25">
      <c r="B109" s="1491" t="s">
        <v>345</v>
      </c>
      <c r="C109" s="735" t="s">
        <v>346</v>
      </c>
      <c r="D109" s="705">
        <v>1.2</v>
      </c>
      <c r="E109" s="708">
        <v>1</v>
      </c>
      <c r="F109" s="708">
        <v>2</v>
      </c>
      <c r="G109" s="708">
        <v>1.1626872051942696</v>
      </c>
      <c r="H109" s="709">
        <v>1.1983633902007491</v>
      </c>
      <c r="I109" s="707">
        <v>1.84</v>
      </c>
      <c r="J109" s="708">
        <v>2.09</v>
      </c>
      <c r="K109" s="708">
        <v>2.46</v>
      </c>
      <c r="L109" s="708">
        <v>3.07</v>
      </c>
      <c r="M109" s="709">
        <v>2.83</v>
      </c>
      <c r="N109" s="671"/>
      <c r="O109" s="392">
        <v>4.2</v>
      </c>
      <c r="P109" s="393">
        <v>2.3610505953950187</v>
      </c>
      <c r="Q109" s="394">
        <v>6.5610505953950184</v>
      </c>
      <c r="R109" s="395"/>
      <c r="S109" s="392">
        <v>12.29</v>
      </c>
      <c r="T109" s="736">
        <v>0.8731756174271752</v>
      </c>
    </row>
    <row r="110" spans="2:20" ht="14.25">
      <c r="B110" s="1495"/>
      <c r="C110" s="735" t="s">
        <v>347</v>
      </c>
      <c r="D110" s="710">
        <v>0</v>
      </c>
      <c r="E110" s="713">
        <v>0</v>
      </c>
      <c r="F110" s="713">
        <v>0</v>
      </c>
      <c r="G110" s="713">
        <v>0</v>
      </c>
      <c r="H110" s="714">
        <v>0</v>
      </c>
      <c r="I110" s="712">
        <v>0</v>
      </c>
      <c r="J110" s="713">
        <v>0</v>
      </c>
      <c r="K110" s="713">
        <v>0</v>
      </c>
      <c r="L110" s="713">
        <v>0</v>
      </c>
      <c r="M110" s="714">
        <v>0</v>
      </c>
      <c r="N110" s="671"/>
      <c r="O110" s="392">
        <v>0</v>
      </c>
      <c r="P110" s="393">
        <v>0</v>
      </c>
      <c r="Q110" s="394">
        <v>0</v>
      </c>
      <c r="R110" s="395"/>
      <c r="S110" s="392">
        <v>0</v>
      </c>
      <c r="T110" s="736" t="s">
        <v>28</v>
      </c>
    </row>
    <row r="111" spans="2:20" ht="14.25">
      <c r="B111" s="1495"/>
      <c r="C111" s="735" t="s">
        <v>348</v>
      </c>
      <c r="D111" s="710">
        <v>0</v>
      </c>
      <c r="E111" s="713">
        <v>0</v>
      </c>
      <c r="F111" s="713">
        <v>0</v>
      </c>
      <c r="G111" s="713">
        <v>0</v>
      </c>
      <c r="H111" s="714">
        <v>0</v>
      </c>
      <c r="I111" s="712">
        <v>0</v>
      </c>
      <c r="J111" s="713">
        <v>0</v>
      </c>
      <c r="K111" s="713">
        <v>0</v>
      </c>
      <c r="L111" s="713">
        <v>0</v>
      </c>
      <c r="M111" s="714">
        <v>0</v>
      </c>
      <c r="N111" s="671"/>
      <c r="O111" s="392"/>
      <c r="P111" s="393"/>
      <c r="Q111" s="394"/>
      <c r="R111" s="395"/>
      <c r="S111" s="392"/>
      <c r="T111" s="736"/>
    </row>
    <row r="112" spans="2:20" ht="14.25">
      <c r="B112" s="1495"/>
      <c r="C112" s="735" t="s">
        <v>349</v>
      </c>
      <c r="D112" s="710">
        <v>0</v>
      </c>
      <c r="E112" s="713">
        <v>0</v>
      </c>
      <c r="F112" s="713">
        <v>0</v>
      </c>
      <c r="G112" s="713">
        <v>0</v>
      </c>
      <c r="H112" s="714">
        <v>0</v>
      </c>
      <c r="I112" s="712">
        <v>0</v>
      </c>
      <c r="J112" s="713">
        <v>0</v>
      </c>
      <c r="K112" s="713">
        <v>0</v>
      </c>
      <c r="L112" s="713">
        <v>0</v>
      </c>
      <c r="M112" s="714">
        <v>0</v>
      </c>
      <c r="N112" s="671"/>
      <c r="O112" s="392"/>
      <c r="P112" s="393"/>
      <c r="Q112" s="394"/>
      <c r="R112" s="395"/>
      <c r="S112" s="392"/>
      <c r="T112" s="736"/>
    </row>
    <row r="113" spans="2:20" ht="14.25">
      <c r="B113" s="1495"/>
      <c r="C113" s="735" t="s">
        <v>216</v>
      </c>
      <c r="D113" s="710">
        <v>2.1</v>
      </c>
      <c r="E113" s="713">
        <v>2.6</v>
      </c>
      <c r="F113" s="713">
        <v>3.3</v>
      </c>
      <c r="G113" s="713">
        <v>3.5958534986926285</v>
      </c>
      <c r="H113" s="714">
        <v>3.2024704065429015</v>
      </c>
      <c r="I113" s="712">
        <v>3.15</v>
      </c>
      <c r="J113" s="713">
        <v>3.53</v>
      </c>
      <c r="K113" s="713">
        <v>3.96</v>
      </c>
      <c r="L113" s="713">
        <v>3.96</v>
      </c>
      <c r="M113" s="714">
        <v>3.96</v>
      </c>
      <c r="N113" s="671"/>
      <c r="O113" s="392"/>
      <c r="P113" s="393"/>
      <c r="Q113" s="394"/>
      <c r="R113" s="395"/>
      <c r="S113" s="392"/>
      <c r="T113" s="736"/>
    </row>
    <row r="114" spans="2:20" ht="14.25">
      <c r="B114" s="1496"/>
      <c r="C114" s="737" t="s">
        <v>320</v>
      </c>
      <c r="D114" s="738">
        <v>3.3</v>
      </c>
      <c r="E114" s="738">
        <v>3.6</v>
      </c>
      <c r="F114" s="738">
        <v>5.3</v>
      </c>
      <c r="G114" s="738">
        <v>4.758540703886898</v>
      </c>
      <c r="H114" s="739">
        <v>4.400833796743651</v>
      </c>
      <c r="I114" s="740">
        <v>4.99</v>
      </c>
      <c r="J114" s="738">
        <v>5.62</v>
      </c>
      <c r="K114" s="738">
        <v>6.42</v>
      </c>
      <c r="L114" s="738">
        <v>7.03</v>
      </c>
      <c r="M114" s="739">
        <v>6.79</v>
      </c>
      <c r="N114" s="671"/>
      <c r="O114" s="392">
        <v>12.2</v>
      </c>
      <c r="P114" s="393">
        <v>9.159374500630548</v>
      </c>
      <c r="Q114" s="394">
        <v>21.359374500630548</v>
      </c>
      <c r="R114" s="395"/>
      <c r="S114" s="392">
        <v>30.85</v>
      </c>
      <c r="T114" s="736">
        <v>0.44433068482830723</v>
      </c>
    </row>
    <row r="115" spans="2:20" ht="14.25">
      <c r="B115" s="1491" t="s">
        <v>750</v>
      </c>
      <c r="C115" s="735" t="s">
        <v>346</v>
      </c>
      <c r="D115" s="710">
        <v>0.7</v>
      </c>
      <c r="E115" s="713">
        <v>3.9</v>
      </c>
      <c r="F115" s="713">
        <v>2.4</v>
      </c>
      <c r="G115" s="713">
        <v>3.3614323160071953</v>
      </c>
      <c r="H115" s="714">
        <v>3.398463450099683</v>
      </c>
      <c r="I115" s="712">
        <v>3.7</v>
      </c>
      <c r="J115" s="713">
        <v>4.19</v>
      </c>
      <c r="K115" s="713">
        <v>4.93</v>
      </c>
      <c r="L115" s="713">
        <v>6.16</v>
      </c>
      <c r="M115" s="714">
        <v>5.67</v>
      </c>
      <c r="N115" s="671"/>
      <c r="O115" s="392">
        <v>7</v>
      </c>
      <c r="P115" s="393">
        <v>6.759895766106878</v>
      </c>
      <c r="Q115" s="394">
        <v>13.75989576610688</v>
      </c>
      <c r="R115" s="395"/>
      <c r="S115" s="392">
        <v>24.65</v>
      </c>
      <c r="T115" s="736">
        <v>0.7914379889938863</v>
      </c>
    </row>
    <row r="116" spans="2:20" ht="14.25">
      <c r="B116" s="1495"/>
      <c r="C116" s="735" t="s">
        <v>347</v>
      </c>
      <c r="D116" s="710">
        <v>0</v>
      </c>
      <c r="E116" s="713">
        <v>0</v>
      </c>
      <c r="F116" s="713">
        <v>0</v>
      </c>
      <c r="G116" s="713">
        <v>0</v>
      </c>
      <c r="H116" s="714">
        <v>0</v>
      </c>
      <c r="I116" s="712">
        <v>0</v>
      </c>
      <c r="J116" s="713">
        <v>0</v>
      </c>
      <c r="K116" s="713">
        <v>0</v>
      </c>
      <c r="L116" s="713">
        <v>0</v>
      </c>
      <c r="M116" s="714">
        <v>0</v>
      </c>
      <c r="N116" s="671"/>
      <c r="O116" s="392">
        <v>0</v>
      </c>
      <c r="P116" s="393">
        <v>0</v>
      </c>
      <c r="Q116" s="394">
        <v>0</v>
      </c>
      <c r="R116" s="395"/>
      <c r="S116" s="392">
        <v>0</v>
      </c>
      <c r="T116" s="736" t="s">
        <v>28</v>
      </c>
    </row>
    <row r="117" spans="2:20" ht="14.25">
      <c r="B117" s="1495"/>
      <c r="C117" s="735" t="s">
        <v>348</v>
      </c>
      <c r="D117" s="710">
        <v>0</v>
      </c>
      <c r="E117" s="713">
        <v>0</v>
      </c>
      <c r="F117" s="713">
        <v>0</v>
      </c>
      <c r="G117" s="713">
        <v>0</v>
      </c>
      <c r="H117" s="714">
        <v>0</v>
      </c>
      <c r="I117" s="712">
        <v>0</v>
      </c>
      <c r="J117" s="713">
        <v>0</v>
      </c>
      <c r="K117" s="713">
        <v>0</v>
      </c>
      <c r="L117" s="713">
        <v>0</v>
      </c>
      <c r="M117" s="714">
        <v>0</v>
      </c>
      <c r="N117" s="671"/>
      <c r="O117" s="392"/>
      <c r="P117" s="393"/>
      <c r="Q117" s="394"/>
      <c r="R117" s="395"/>
      <c r="S117" s="392"/>
      <c r="T117" s="736"/>
    </row>
    <row r="118" spans="2:20" ht="14.25">
      <c r="B118" s="1495"/>
      <c r="C118" s="735" t="s">
        <v>349</v>
      </c>
      <c r="D118" s="710">
        <v>0</v>
      </c>
      <c r="E118" s="713">
        <v>0</v>
      </c>
      <c r="F118" s="713">
        <v>0</v>
      </c>
      <c r="G118" s="713">
        <v>0</v>
      </c>
      <c r="H118" s="714">
        <v>0</v>
      </c>
      <c r="I118" s="712">
        <v>0</v>
      </c>
      <c r="J118" s="713">
        <v>0</v>
      </c>
      <c r="K118" s="713">
        <v>0</v>
      </c>
      <c r="L118" s="713">
        <v>0</v>
      </c>
      <c r="M118" s="714">
        <v>0</v>
      </c>
      <c r="N118" s="671"/>
      <c r="O118" s="392"/>
      <c r="P118" s="393"/>
      <c r="Q118" s="394"/>
      <c r="R118" s="395"/>
      <c r="S118" s="392"/>
      <c r="T118" s="736"/>
    </row>
    <row r="119" spans="2:20" ht="14.25">
      <c r="B119" s="1495"/>
      <c r="C119" s="735" t="s">
        <v>216</v>
      </c>
      <c r="D119" s="710">
        <v>1.8</v>
      </c>
      <c r="E119" s="713">
        <v>2.3</v>
      </c>
      <c r="F119" s="713">
        <v>4.7</v>
      </c>
      <c r="G119" s="713">
        <v>4.086672849940254</v>
      </c>
      <c r="H119" s="714">
        <v>3.991109422876425</v>
      </c>
      <c r="I119" s="712">
        <v>1.08</v>
      </c>
      <c r="J119" s="713">
        <v>2.59</v>
      </c>
      <c r="K119" s="713">
        <v>3.98</v>
      </c>
      <c r="L119" s="713">
        <v>3.98</v>
      </c>
      <c r="M119" s="714">
        <v>3.98</v>
      </c>
      <c r="N119" s="671"/>
      <c r="O119" s="392"/>
      <c r="P119" s="393"/>
      <c r="Q119" s="394"/>
      <c r="R119" s="395"/>
      <c r="S119" s="392"/>
      <c r="T119" s="736"/>
    </row>
    <row r="120" spans="2:20" ht="14.25">
      <c r="B120" s="1496"/>
      <c r="C120" s="737" t="s">
        <v>320</v>
      </c>
      <c r="D120" s="738">
        <v>2.5</v>
      </c>
      <c r="E120" s="738">
        <v>6.2</v>
      </c>
      <c r="F120" s="738">
        <v>7.1</v>
      </c>
      <c r="G120" s="738">
        <v>7.4481051659474495</v>
      </c>
      <c r="H120" s="739">
        <v>7.389572872976108</v>
      </c>
      <c r="I120" s="740">
        <v>4.78</v>
      </c>
      <c r="J120" s="738">
        <v>6.78</v>
      </c>
      <c r="K120" s="738">
        <v>8.91</v>
      </c>
      <c r="L120" s="738">
        <v>10.14</v>
      </c>
      <c r="M120" s="739">
        <v>9.65</v>
      </c>
      <c r="N120" s="671"/>
      <c r="O120" s="392">
        <v>15.8</v>
      </c>
      <c r="P120" s="393">
        <v>14.837678038923556</v>
      </c>
      <c r="Q120" s="394">
        <v>30.637678038923557</v>
      </c>
      <c r="R120" s="395"/>
      <c r="S120" s="392">
        <v>40.26</v>
      </c>
      <c r="T120" s="736">
        <v>0.3140682511530994</v>
      </c>
    </row>
    <row r="121" spans="2:20" ht="14.25">
      <c r="B121" s="1490" t="s">
        <v>453</v>
      </c>
      <c r="C121" s="735" t="s">
        <v>346</v>
      </c>
      <c r="D121" s="710">
        <v>0.2</v>
      </c>
      <c r="E121" s="713">
        <v>0</v>
      </c>
      <c r="F121" s="713">
        <v>0.2</v>
      </c>
      <c r="G121" s="713">
        <v>0.02825612469869062</v>
      </c>
      <c r="H121" s="714">
        <v>0.017859780399340608</v>
      </c>
      <c r="I121" s="712">
        <v>0.75</v>
      </c>
      <c r="J121" s="713">
        <v>0.87</v>
      </c>
      <c r="K121" s="713">
        <v>1</v>
      </c>
      <c r="L121" s="713">
        <v>1</v>
      </c>
      <c r="M121" s="714">
        <v>1</v>
      </c>
      <c r="N121" s="671"/>
      <c r="O121" s="392">
        <v>0.4</v>
      </c>
      <c r="P121" s="393">
        <v>0.04611590509803123</v>
      </c>
      <c r="Q121" s="394">
        <v>0.44611590509803123</v>
      </c>
      <c r="R121" s="395"/>
      <c r="S121" s="392">
        <v>4.62</v>
      </c>
      <c r="T121" s="736">
        <v>9.35605309562945</v>
      </c>
    </row>
    <row r="122" spans="2:20" ht="14.25">
      <c r="B122" s="1491"/>
      <c r="C122" s="735" t="s">
        <v>347</v>
      </c>
      <c r="D122" s="710">
        <v>0</v>
      </c>
      <c r="E122" s="713">
        <v>0</v>
      </c>
      <c r="F122" s="713">
        <v>0</v>
      </c>
      <c r="G122" s="713">
        <v>0</v>
      </c>
      <c r="H122" s="714">
        <v>0</v>
      </c>
      <c r="I122" s="712">
        <v>0</v>
      </c>
      <c r="J122" s="713">
        <v>0</v>
      </c>
      <c r="K122" s="713">
        <v>0</v>
      </c>
      <c r="L122" s="713">
        <v>0</v>
      </c>
      <c r="M122" s="714">
        <v>0</v>
      </c>
      <c r="N122" s="671"/>
      <c r="O122" s="392">
        <v>0</v>
      </c>
      <c r="P122" s="393">
        <v>0</v>
      </c>
      <c r="Q122" s="394">
        <v>0</v>
      </c>
      <c r="R122" s="395"/>
      <c r="S122" s="392">
        <v>0</v>
      </c>
      <c r="T122" s="736" t="s">
        <v>28</v>
      </c>
    </row>
    <row r="123" spans="2:20" ht="14.25">
      <c r="B123" s="1491"/>
      <c r="C123" s="735" t="s">
        <v>348</v>
      </c>
      <c r="D123" s="710">
        <v>0</v>
      </c>
      <c r="E123" s="713">
        <v>0</v>
      </c>
      <c r="F123" s="713">
        <v>0</v>
      </c>
      <c r="G123" s="713">
        <v>0</v>
      </c>
      <c r="H123" s="714">
        <v>0</v>
      </c>
      <c r="I123" s="712">
        <v>0</v>
      </c>
      <c r="J123" s="713">
        <v>0</v>
      </c>
      <c r="K123" s="713">
        <v>0</v>
      </c>
      <c r="L123" s="713">
        <v>0</v>
      </c>
      <c r="M123" s="714">
        <v>0</v>
      </c>
      <c r="N123" s="671"/>
      <c r="O123" s="392"/>
      <c r="P123" s="393"/>
      <c r="Q123" s="394"/>
      <c r="R123" s="395"/>
      <c r="S123" s="392"/>
      <c r="T123" s="736"/>
    </row>
    <row r="124" spans="2:20" ht="14.25">
      <c r="B124" s="1491"/>
      <c r="C124" s="735" t="s">
        <v>216</v>
      </c>
      <c r="D124" s="710">
        <v>0.2</v>
      </c>
      <c r="E124" s="713">
        <v>0.5</v>
      </c>
      <c r="F124" s="713">
        <v>0.4</v>
      </c>
      <c r="G124" s="713">
        <v>0.38930660695973746</v>
      </c>
      <c r="H124" s="714">
        <v>0.2952116642479242</v>
      </c>
      <c r="I124" s="712">
        <v>0.33</v>
      </c>
      <c r="J124" s="713">
        <v>0.55</v>
      </c>
      <c r="K124" s="713">
        <v>0.77</v>
      </c>
      <c r="L124" s="713">
        <v>0.77</v>
      </c>
      <c r="M124" s="714">
        <v>0.77</v>
      </c>
      <c r="N124" s="671"/>
      <c r="O124" s="392"/>
      <c r="P124" s="393"/>
      <c r="Q124" s="394"/>
      <c r="R124" s="395"/>
      <c r="S124" s="392"/>
      <c r="T124" s="736"/>
    </row>
    <row r="125" spans="2:20" ht="14.25">
      <c r="B125" s="1492" t="s">
        <v>454</v>
      </c>
      <c r="C125" s="735" t="s">
        <v>455</v>
      </c>
      <c r="D125" s="710">
        <v>0</v>
      </c>
      <c r="E125" s="713">
        <v>0</v>
      </c>
      <c r="F125" s="713">
        <v>0</v>
      </c>
      <c r="G125" s="713">
        <v>0</v>
      </c>
      <c r="H125" s="714">
        <v>0</v>
      </c>
      <c r="I125" s="712">
        <v>0</v>
      </c>
      <c r="J125" s="713">
        <v>0</v>
      </c>
      <c r="K125" s="713">
        <v>0</v>
      </c>
      <c r="L125" s="713">
        <v>0</v>
      </c>
      <c r="M125" s="714">
        <v>0</v>
      </c>
      <c r="N125" s="671"/>
      <c r="O125" s="392">
        <v>0</v>
      </c>
      <c r="P125" s="393">
        <v>0</v>
      </c>
      <c r="Q125" s="394">
        <v>0</v>
      </c>
      <c r="R125" s="395"/>
      <c r="S125" s="392">
        <v>0</v>
      </c>
      <c r="T125" s="736" t="s">
        <v>28</v>
      </c>
    </row>
    <row r="126" spans="2:20" ht="14.25">
      <c r="B126" s="1493"/>
      <c r="C126" s="741" t="s">
        <v>456</v>
      </c>
      <c r="D126" s="710">
        <v>0</v>
      </c>
      <c r="E126" s="713">
        <v>0</v>
      </c>
      <c r="F126" s="713">
        <v>0</v>
      </c>
      <c r="G126" s="713">
        <v>0</v>
      </c>
      <c r="H126" s="714">
        <v>0</v>
      </c>
      <c r="I126" s="712">
        <v>0</v>
      </c>
      <c r="J126" s="713">
        <v>0</v>
      </c>
      <c r="K126" s="713">
        <v>0</v>
      </c>
      <c r="L126" s="713">
        <v>0</v>
      </c>
      <c r="M126" s="714">
        <v>0</v>
      </c>
      <c r="N126" s="671"/>
      <c r="O126" s="392">
        <v>0</v>
      </c>
      <c r="P126" s="393">
        <v>0</v>
      </c>
      <c r="Q126" s="394">
        <v>0</v>
      </c>
      <c r="R126" s="395"/>
      <c r="S126" s="392">
        <v>0</v>
      </c>
      <c r="T126" s="736" t="s">
        <v>28</v>
      </c>
    </row>
    <row r="127" spans="2:20" ht="14.25">
      <c r="B127" s="1493"/>
      <c r="C127" s="735" t="s">
        <v>348</v>
      </c>
      <c r="D127" s="710">
        <v>0</v>
      </c>
      <c r="E127" s="710">
        <v>0</v>
      </c>
      <c r="F127" s="710">
        <v>0</v>
      </c>
      <c r="G127" s="710">
        <v>0</v>
      </c>
      <c r="H127" s="711">
        <v>0</v>
      </c>
      <c r="I127" s="712">
        <v>0</v>
      </c>
      <c r="J127" s="710">
        <v>0</v>
      </c>
      <c r="K127" s="710">
        <v>0</v>
      </c>
      <c r="L127" s="710">
        <v>0</v>
      </c>
      <c r="M127" s="711">
        <v>0</v>
      </c>
      <c r="N127" s="671"/>
      <c r="O127" s="392"/>
      <c r="P127" s="393"/>
      <c r="Q127" s="394"/>
      <c r="R127" s="395"/>
      <c r="S127" s="392"/>
      <c r="T127" s="736"/>
    </row>
    <row r="128" spans="2:20" ht="14.25">
      <c r="B128" s="1493"/>
      <c r="C128" s="735" t="s">
        <v>457</v>
      </c>
      <c r="D128" s="710">
        <v>0</v>
      </c>
      <c r="E128" s="710">
        <v>0</v>
      </c>
      <c r="F128" s="710">
        <v>0</v>
      </c>
      <c r="G128" s="710">
        <v>0</v>
      </c>
      <c r="H128" s="711">
        <v>0</v>
      </c>
      <c r="I128" s="712">
        <v>0.05</v>
      </c>
      <c r="J128" s="710">
        <v>0.13</v>
      </c>
      <c r="K128" s="710">
        <v>0.21</v>
      </c>
      <c r="L128" s="710">
        <v>0.21</v>
      </c>
      <c r="M128" s="711">
        <v>0.21</v>
      </c>
      <c r="N128" s="671"/>
      <c r="O128" s="392"/>
      <c r="P128" s="393"/>
      <c r="Q128" s="394"/>
      <c r="R128" s="395"/>
      <c r="S128" s="392"/>
      <c r="T128" s="736"/>
    </row>
    <row r="129" spans="2:20" ht="15">
      <c r="B129" s="742" t="s">
        <v>458</v>
      </c>
      <c r="C129" s="737" t="s">
        <v>320</v>
      </c>
      <c r="D129" s="738">
        <v>0.4</v>
      </c>
      <c r="E129" s="738">
        <v>0.5</v>
      </c>
      <c r="F129" s="738">
        <v>0.6</v>
      </c>
      <c r="G129" s="738">
        <v>0.41756273165842805</v>
      </c>
      <c r="H129" s="739">
        <v>0.31307144464726483</v>
      </c>
      <c r="I129" s="740">
        <v>1.13</v>
      </c>
      <c r="J129" s="738">
        <v>1.55</v>
      </c>
      <c r="K129" s="738">
        <v>1.98</v>
      </c>
      <c r="L129" s="738">
        <v>1.98</v>
      </c>
      <c r="M129" s="739">
        <v>1.98</v>
      </c>
      <c r="N129" s="671"/>
      <c r="O129" s="392">
        <v>1.5</v>
      </c>
      <c r="P129" s="393">
        <v>0.7306341763056929</v>
      </c>
      <c r="Q129" s="394">
        <v>2.230634176305693</v>
      </c>
      <c r="R129" s="395"/>
      <c r="S129" s="392">
        <v>8.62</v>
      </c>
      <c r="T129" s="736">
        <v>2.8643718865081578</v>
      </c>
    </row>
    <row r="130" spans="2:20" ht="14.25">
      <c r="B130" s="1492" t="s">
        <v>328</v>
      </c>
      <c r="C130" s="735" t="s">
        <v>346</v>
      </c>
      <c r="D130" s="710">
        <v>0</v>
      </c>
      <c r="E130" s="713">
        <v>0</v>
      </c>
      <c r="F130" s="713">
        <v>0</v>
      </c>
      <c r="G130" s="713">
        <v>0</v>
      </c>
      <c r="H130" s="714">
        <v>0</v>
      </c>
      <c r="I130" s="712">
        <v>0.02</v>
      </c>
      <c r="J130" s="713">
        <v>0.02</v>
      </c>
      <c r="K130" s="713">
        <v>0.02</v>
      </c>
      <c r="L130" s="713">
        <v>0.02</v>
      </c>
      <c r="M130" s="714">
        <v>0.02</v>
      </c>
      <c r="N130" s="671"/>
      <c r="O130" s="392">
        <v>0</v>
      </c>
      <c r="P130" s="393">
        <v>0</v>
      </c>
      <c r="Q130" s="394">
        <v>0</v>
      </c>
      <c r="R130" s="395"/>
      <c r="S130" s="392">
        <v>0.1</v>
      </c>
      <c r="T130" s="736" t="s">
        <v>28</v>
      </c>
    </row>
    <row r="131" spans="2:20" ht="14.25">
      <c r="B131" s="1493"/>
      <c r="C131" s="735" t="s">
        <v>347</v>
      </c>
      <c r="D131" s="710">
        <v>0</v>
      </c>
      <c r="E131" s="713">
        <v>0</v>
      </c>
      <c r="F131" s="713">
        <v>0</v>
      </c>
      <c r="G131" s="713">
        <v>0</v>
      </c>
      <c r="H131" s="714">
        <v>0</v>
      </c>
      <c r="I131" s="712">
        <v>0</v>
      </c>
      <c r="J131" s="713">
        <v>0</v>
      </c>
      <c r="K131" s="713">
        <v>0</v>
      </c>
      <c r="L131" s="713">
        <v>0</v>
      </c>
      <c r="M131" s="714">
        <v>0</v>
      </c>
      <c r="N131" s="671"/>
      <c r="O131" s="392">
        <v>0</v>
      </c>
      <c r="P131" s="393">
        <v>0</v>
      </c>
      <c r="Q131" s="394">
        <v>0</v>
      </c>
      <c r="R131" s="395"/>
      <c r="S131" s="392">
        <v>0</v>
      </c>
      <c r="T131" s="736" t="s">
        <v>28</v>
      </c>
    </row>
    <row r="132" spans="2:20" ht="14.25">
      <c r="B132" s="1493"/>
      <c r="C132" s="735" t="s">
        <v>348</v>
      </c>
      <c r="D132" s="710">
        <v>0</v>
      </c>
      <c r="E132" s="713">
        <v>0</v>
      </c>
      <c r="F132" s="713">
        <v>0</v>
      </c>
      <c r="G132" s="713">
        <v>0</v>
      </c>
      <c r="H132" s="714">
        <v>0</v>
      </c>
      <c r="I132" s="712">
        <v>0</v>
      </c>
      <c r="J132" s="713">
        <v>0</v>
      </c>
      <c r="K132" s="713">
        <v>0</v>
      </c>
      <c r="L132" s="713">
        <v>0</v>
      </c>
      <c r="M132" s="714">
        <v>0</v>
      </c>
      <c r="N132" s="671"/>
      <c r="O132" s="392"/>
      <c r="P132" s="393"/>
      <c r="Q132" s="394"/>
      <c r="R132" s="395"/>
      <c r="S132" s="392"/>
      <c r="T132" s="736"/>
    </row>
    <row r="133" spans="2:20" ht="14.25">
      <c r="B133" s="1493"/>
      <c r="C133" s="735" t="s">
        <v>216</v>
      </c>
      <c r="D133" s="710">
        <v>0</v>
      </c>
      <c r="E133" s="713">
        <v>0</v>
      </c>
      <c r="F133" s="713">
        <v>0</v>
      </c>
      <c r="G133" s="713">
        <v>0</v>
      </c>
      <c r="H133" s="714">
        <v>0</v>
      </c>
      <c r="I133" s="712">
        <v>0</v>
      </c>
      <c r="J133" s="713">
        <v>0</v>
      </c>
      <c r="K133" s="713">
        <v>0</v>
      </c>
      <c r="L133" s="713">
        <v>0</v>
      </c>
      <c r="M133" s="714">
        <v>0</v>
      </c>
      <c r="N133" s="671"/>
      <c r="O133" s="392"/>
      <c r="P133" s="393"/>
      <c r="Q133" s="394"/>
      <c r="R133" s="395"/>
      <c r="S133" s="392"/>
      <c r="T133" s="736"/>
    </row>
    <row r="134" spans="2:20" ht="14.25">
      <c r="B134" s="1492" t="s">
        <v>329</v>
      </c>
      <c r="C134" s="735" t="s">
        <v>455</v>
      </c>
      <c r="D134" s="710">
        <v>0</v>
      </c>
      <c r="E134" s="713">
        <v>0</v>
      </c>
      <c r="F134" s="713">
        <v>0</v>
      </c>
      <c r="G134" s="713">
        <v>0</v>
      </c>
      <c r="H134" s="714">
        <v>0</v>
      </c>
      <c r="I134" s="712">
        <v>0.34</v>
      </c>
      <c r="J134" s="713">
        <v>0.39</v>
      </c>
      <c r="K134" s="713">
        <v>0.45</v>
      </c>
      <c r="L134" s="713">
        <v>0.57</v>
      </c>
      <c r="M134" s="714">
        <v>0.52</v>
      </c>
      <c r="N134" s="671"/>
      <c r="O134" s="392"/>
      <c r="P134" s="393"/>
      <c r="Q134" s="394"/>
      <c r="R134" s="395"/>
      <c r="S134" s="392"/>
      <c r="T134" s="736"/>
    </row>
    <row r="135" spans="2:20" ht="14.25">
      <c r="B135" s="1493"/>
      <c r="C135" s="741" t="s">
        <v>456</v>
      </c>
      <c r="D135" s="710">
        <v>1.5</v>
      </c>
      <c r="E135" s="713">
        <v>1.7</v>
      </c>
      <c r="F135" s="713">
        <v>2.9</v>
      </c>
      <c r="G135" s="713">
        <v>3.044335805499667</v>
      </c>
      <c r="H135" s="714">
        <v>0.980186771328517</v>
      </c>
      <c r="I135" s="712">
        <v>0.11</v>
      </c>
      <c r="J135" s="713">
        <v>0.29</v>
      </c>
      <c r="K135" s="713">
        <v>0.45</v>
      </c>
      <c r="L135" s="713">
        <v>0.45</v>
      </c>
      <c r="M135" s="714">
        <v>0.45</v>
      </c>
      <c r="N135" s="671"/>
      <c r="O135" s="392">
        <v>6.1</v>
      </c>
      <c r="P135" s="393">
        <v>4.0245225768281845</v>
      </c>
      <c r="Q135" s="394">
        <v>10.124522576828184</v>
      </c>
      <c r="R135" s="395"/>
      <c r="S135" s="392">
        <v>1.75</v>
      </c>
      <c r="T135" s="736">
        <v>-0.8271523435578885</v>
      </c>
    </row>
    <row r="136" spans="2:20" ht="14.25">
      <c r="B136" s="1493"/>
      <c r="C136" s="735" t="s">
        <v>348</v>
      </c>
      <c r="D136" s="710">
        <v>0</v>
      </c>
      <c r="E136" s="713">
        <v>2.2</v>
      </c>
      <c r="F136" s="713">
        <v>0</v>
      </c>
      <c r="G136" s="713">
        <v>0</v>
      </c>
      <c r="H136" s="714">
        <v>0</v>
      </c>
      <c r="I136" s="712">
        <v>0</v>
      </c>
      <c r="J136" s="713">
        <v>0</v>
      </c>
      <c r="K136" s="713">
        <v>0</v>
      </c>
      <c r="L136" s="713">
        <v>0</v>
      </c>
      <c r="M136" s="714">
        <v>0</v>
      </c>
      <c r="N136" s="671"/>
      <c r="O136" s="392"/>
      <c r="P136" s="393"/>
      <c r="Q136" s="394"/>
      <c r="R136" s="395"/>
      <c r="S136" s="392"/>
      <c r="T136" s="736"/>
    </row>
    <row r="137" spans="2:20" ht="14.25">
      <c r="B137" s="1493"/>
      <c r="C137" s="735" t="s">
        <v>457</v>
      </c>
      <c r="D137" s="710">
        <v>0</v>
      </c>
      <c r="E137" s="713">
        <v>0</v>
      </c>
      <c r="F137" s="713">
        <v>0</v>
      </c>
      <c r="G137" s="713">
        <v>0</v>
      </c>
      <c r="H137" s="714">
        <v>0</v>
      </c>
      <c r="I137" s="712">
        <v>0.15</v>
      </c>
      <c r="J137" s="713">
        <v>0.17</v>
      </c>
      <c r="K137" s="713">
        <v>0.2</v>
      </c>
      <c r="L137" s="713">
        <v>0.22</v>
      </c>
      <c r="M137" s="714">
        <v>0.26</v>
      </c>
      <c r="N137" s="671"/>
      <c r="O137" s="392">
        <v>0</v>
      </c>
      <c r="P137" s="393">
        <v>0</v>
      </c>
      <c r="Q137" s="394">
        <v>0</v>
      </c>
      <c r="R137" s="395"/>
      <c r="S137" s="392">
        <v>1</v>
      </c>
      <c r="T137" s="736" t="s">
        <v>28</v>
      </c>
    </row>
    <row r="138" spans="2:20" ht="15" thickBot="1">
      <c r="B138" s="743" t="s">
        <v>218</v>
      </c>
      <c r="C138" s="744" t="s">
        <v>320</v>
      </c>
      <c r="D138" s="745">
        <v>1.5</v>
      </c>
      <c r="E138" s="745">
        <v>3.9</v>
      </c>
      <c r="F138" s="745">
        <v>2.9</v>
      </c>
      <c r="G138" s="745">
        <v>3.044335805499667</v>
      </c>
      <c r="H138" s="746">
        <v>0.980186771328517</v>
      </c>
      <c r="I138" s="747">
        <v>0.62</v>
      </c>
      <c r="J138" s="745">
        <v>0.87</v>
      </c>
      <c r="K138" s="745">
        <v>1.12</v>
      </c>
      <c r="L138" s="745">
        <v>1.26</v>
      </c>
      <c r="M138" s="746">
        <v>1.25</v>
      </c>
      <c r="N138" s="671"/>
      <c r="O138" s="405">
        <v>8.3</v>
      </c>
      <c r="P138" s="406">
        <v>4.0245225768281845</v>
      </c>
      <c r="Q138" s="407">
        <v>12.324522576828185</v>
      </c>
      <c r="R138" s="395"/>
      <c r="S138" s="405">
        <v>5.12</v>
      </c>
      <c r="T138" s="748">
        <v>-0.5845680862619124</v>
      </c>
    </row>
    <row r="139" spans="2:20" ht="14.25">
      <c r="B139" s="671"/>
      <c r="C139" s="671"/>
      <c r="D139" s="671"/>
      <c r="E139" s="671"/>
      <c r="F139" s="671"/>
      <c r="G139" s="671"/>
      <c r="H139" s="671"/>
      <c r="I139" s="671"/>
      <c r="J139" s="671"/>
      <c r="K139" s="671"/>
      <c r="L139" s="671"/>
      <c r="M139" s="671"/>
      <c r="N139" s="671"/>
      <c r="O139" s="671"/>
      <c r="P139" s="671"/>
      <c r="Q139" s="671"/>
      <c r="R139" s="704"/>
      <c r="S139" s="704"/>
      <c r="T139" s="704"/>
    </row>
  </sheetData>
  <sheetProtection/>
  <mergeCells count="24">
    <mergeCell ref="B23:B28"/>
    <mergeCell ref="B29:B34"/>
    <mergeCell ref="B43:B44"/>
    <mergeCell ref="B45:B46"/>
    <mergeCell ref="B10:B11"/>
    <mergeCell ref="B12:B13"/>
    <mergeCell ref="B14:B16"/>
    <mergeCell ref="B17:B22"/>
    <mergeCell ref="B76:B77"/>
    <mergeCell ref="B78:B79"/>
    <mergeCell ref="B80:B82"/>
    <mergeCell ref="B83:B88"/>
    <mergeCell ref="B47:B49"/>
    <mergeCell ref="B50:B55"/>
    <mergeCell ref="B56:B61"/>
    <mergeCell ref="B62:B67"/>
    <mergeCell ref="B121:B124"/>
    <mergeCell ref="B125:B128"/>
    <mergeCell ref="B130:B133"/>
    <mergeCell ref="B134:B137"/>
    <mergeCell ref="B89:B94"/>
    <mergeCell ref="B95:B100"/>
    <mergeCell ref="B109:B114"/>
    <mergeCell ref="B115:B120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5" t="s">
        <v>415</v>
      </c>
      <c r="F1" s="389" t="s">
        <v>776</v>
      </c>
    </row>
    <row r="2" ht="12.75">
      <c r="A2" s="385"/>
    </row>
    <row r="3" ht="12.75">
      <c r="A3" s="385" t="s">
        <v>233</v>
      </c>
    </row>
    <row r="4" ht="12.75">
      <c r="A4" s="385"/>
    </row>
    <row r="6" ht="13.5" thickBot="1"/>
    <row r="7" spans="2:10" ht="12.75">
      <c r="B7" s="749"/>
      <c r="C7" s="750"/>
      <c r="D7" s="750"/>
      <c r="E7" s="750" t="s">
        <v>360</v>
      </c>
      <c r="F7" s="751" t="s">
        <v>741</v>
      </c>
      <c r="G7" s="752" t="s">
        <v>361</v>
      </c>
      <c r="H7" s="753"/>
      <c r="I7" s="752" t="s">
        <v>362</v>
      </c>
      <c r="J7" s="753"/>
    </row>
    <row r="8" spans="2:10" ht="51">
      <c r="B8" s="754"/>
      <c r="C8" s="755"/>
      <c r="D8" s="755"/>
      <c r="E8" s="755"/>
      <c r="F8" s="756"/>
      <c r="G8" s="757" t="s">
        <v>363</v>
      </c>
      <c r="H8" s="758" t="s">
        <v>374</v>
      </c>
      <c r="I8" s="757" t="s">
        <v>363</v>
      </c>
      <c r="J8" s="758" t="s">
        <v>374</v>
      </c>
    </row>
    <row r="9" spans="2:10" ht="13.5" thickBot="1">
      <c r="B9" s="759"/>
      <c r="C9" s="760"/>
      <c r="D9" s="760"/>
      <c r="E9" s="760"/>
      <c r="F9" s="761"/>
      <c r="G9" s="762" t="s">
        <v>375</v>
      </c>
      <c r="H9" s="763" t="s">
        <v>375</v>
      </c>
      <c r="I9" s="762" t="s">
        <v>375</v>
      </c>
      <c r="J9" s="763" t="s">
        <v>375</v>
      </c>
    </row>
    <row r="10" spans="2:10" ht="12.75">
      <c r="B10" s="764"/>
      <c r="C10" s="765" t="s">
        <v>208</v>
      </c>
      <c r="D10" s="765"/>
      <c r="E10" s="766"/>
      <c r="F10" s="767"/>
      <c r="G10" s="768"/>
      <c r="H10" s="769"/>
      <c r="I10" s="768"/>
      <c r="J10" s="769"/>
    </row>
    <row r="11" spans="2:10" ht="12.75">
      <c r="B11" s="764"/>
      <c r="C11" s="766"/>
      <c r="D11" s="770" t="s">
        <v>644</v>
      </c>
      <c r="E11" s="766"/>
      <c r="F11" s="771"/>
      <c r="G11" s="772"/>
      <c r="H11" s="773"/>
      <c r="I11" s="772"/>
      <c r="J11" s="773"/>
    </row>
    <row r="12" spans="2:10" ht="12.75">
      <c r="B12" s="774"/>
      <c r="C12" s="766"/>
      <c r="D12" s="766"/>
      <c r="E12" s="766" t="s">
        <v>209</v>
      </c>
      <c r="F12" s="775" t="s">
        <v>634</v>
      </c>
      <c r="G12" s="776"/>
      <c r="H12" s="777"/>
      <c r="I12" s="776">
        <v>14.06</v>
      </c>
      <c r="J12" s="777">
        <v>19.44</v>
      </c>
    </row>
    <row r="13" spans="2:10" ht="12.75">
      <c r="B13" s="774"/>
      <c r="C13" s="766"/>
      <c r="D13" s="766"/>
      <c r="E13" s="766" t="s">
        <v>212</v>
      </c>
      <c r="F13" s="775" t="s">
        <v>607</v>
      </c>
      <c r="G13" s="776"/>
      <c r="H13" s="777"/>
      <c r="I13" s="776">
        <v>0.2</v>
      </c>
      <c r="J13" s="777">
        <v>0.31</v>
      </c>
    </row>
    <row r="14" spans="2:10" ht="12.75">
      <c r="B14" s="774"/>
      <c r="C14" s="766"/>
      <c r="D14" s="766"/>
      <c r="E14" s="766"/>
      <c r="F14" s="775"/>
      <c r="G14" s="778"/>
      <c r="H14" s="779"/>
      <c r="I14" s="778"/>
      <c r="J14" s="779"/>
    </row>
    <row r="15" spans="2:10" ht="12.75">
      <c r="B15" s="774"/>
      <c r="C15" s="766"/>
      <c r="D15" s="770" t="s">
        <v>608</v>
      </c>
      <c r="E15" s="766"/>
      <c r="F15" s="775"/>
      <c r="G15" s="778"/>
      <c r="H15" s="779"/>
      <c r="I15" s="778"/>
      <c r="J15" s="779"/>
    </row>
    <row r="16" spans="2:10" ht="12.75">
      <c r="B16" s="774"/>
      <c r="C16" s="766"/>
      <c r="D16" s="766"/>
      <c r="E16" s="766" t="s">
        <v>473</v>
      </c>
      <c r="F16" s="775" t="s">
        <v>607</v>
      </c>
      <c r="G16" s="776"/>
      <c r="H16" s="777"/>
      <c r="I16" s="776">
        <v>1.43</v>
      </c>
      <c r="J16" s="777">
        <v>1.88</v>
      </c>
    </row>
    <row r="17" spans="2:10" ht="12.75">
      <c r="B17" s="774"/>
      <c r="C17" s="766"/>
      <c r="D17" s="766"/>
      <c r="E17" s="766"/>
      <c r="F17" s="775"/>
      <c r="G17" s="778"/>
      <c r="H17" s="779"/>
      <c r="I17" s="778"/>
      <c r="J17" s="779"/>
    </row>
    <row r="18" spans="2:10" ht="12.75">
      <c r="B18" s="774"/>
      <c r="C18" s="766"/>
      <c r="D18" s="770" t="s">
        <v>432</v>
      </c>
      <c r="E18" s="766"/>
      <c r="F18" s="775"/>
      <c r="G18" s="778"/>
      <c r="H18" s="779"/>
      <c r="I18" s="778"/>
      <c r="J18" s="779"/>
    </row>
    <row r="19" spans="2:10" ht="12.75">
      <c r="B19" s="774"/>
      <c r="C19" s="766"/>
      <c r="D19" s="770"/>
      <c r="E19" s="766" t="s">
        <v>378</v>
      </c>
      <c r="F19" s="775" t="s">
        <v>634</v>
      </c>
      <c r="G19" s="776"/>
      <c r="H19" s="777"/>
      <c r="I19" s="776">
        <v>67.22</v>
      </c>
      <c r="J19" s="777">
        <v>75.86</v>
      </c>
    </row>
    <row r="20" spans="2:10" ht="12.75">
      <c r="B20" s="774"/>
      <c r="C20" s="766"/>
      <c r="D20" s="770"/>
      <c r="E20" s="766" t="s">
        <v>220</v>
      </c>
      <c r="F20" s="775" t="s">
        <v>634</v>
      </c>
      <c r="G20" s="776">
        <v>33.4</v>
      </c>
      <c r="H20" s="777">
        <v>40.748</v>
      </c>
      <c r="I20" s="776">
        <v>67.22</v>
      </c>
      <c r="J20" s="777">
        <v>67.22</v>
      </c>
    </row>
    <row r="21" spans="2:10" ht="12.75">
      <c r="B21" s="774"/>
      <c r="C21" s="766"/>
      <c r="D21" s="770"/>
      <c r="E21" s="766" t="s">
        <v>221</v>
      </c>
      <c r="F21" s="775" t="s">
        <v>634</v>
      </c>
      <c r="G21" s="776"/>
      <c r="H21" s="777"/>
      <c r="I21" s="776">
        <v>67.22</v>
      </c>
      <c r="J21" s="777">
        <v>75.86</v>
      </c>
    </row>
    <row r="22" spans="2:10" ht="12.75">
      <c r="B22" s="774"/>
      <c r="C22" s="766"/>
      <c r="D22" s="770"/>
      <c r="E22" s="766" t="s">
        <v>222</v>
      </c>
      <c r="F22" s="775" t="s">
        <v>607</v>
      </c>
      <c r="G22" s="776">
        <v>0.93</v>
      </c>
      <c r="H22" s="777">
        <v>1.1346</v>
      </c>
      <c r="I22" s="776">
        <v>0.6</v>
      </c>
      <c r="J22" s="777">
        <v>0.7</v>
      </c>
    </row>
    <row r="23" spans="2:10" ht="12.75">
      <c r="B23" s="774"/>
      <c r="C23" s="766"/>
      <c r="D23" s="766"/>
      <c r="E23" s="766"/>
      <c r="F23" s="775"/>
      <c r="G23" s="778"/>
      <c r="H23" s="779"/>
      <c r="I23" s="778"/>
      <c r="J23" s="779"/>
    </row>
    <row r="24" spans="2:10" ht="12.75">
      <c r="B24" s="774"/>
      <c r="C24" s="766"/>
      <c r="D24" s="770" t="s">
        <v>223</v>
      </c>
      <c r="E24" s="766"/>
      <c r="F24" s="775"/>
      <c r="G24" s="778"/>
      <c r="H24" s="779"/>
      <c r="I24" s="778"/>
      <c r="J24" s="779"/>
    </row>
    <row r="25" spans="2:10" ht="12.75">
      <c r="B25" s="774"/>
      <c r="C25" s="766"/>
      <c r="D25" s="770"/>
      <c r="E25" s="766" t="s">
        <v>224</v>
      </c>
      <c r="F25" s="775" t="s">
        <v>607</v>
      </c>
      <c r="G25" s="776">
        <v>2.22</v>
      </c>
      <c r="H25" s="777">
        <v>2.7084</v>
      </c>
      <c r="I25" s="776">
        <v>6.41</v>
      </c>
      <c r="J25" s="777">
        <v>7.94</v>
      </c>
    </row>
    <row r="26" spans="2:10" ht="12.75">
      <c r="B26" s="774"/>
      <c r="C26" s="766"/>
      <c r="D26" s="770"/>
      <c r="E26" s="766" t="s">
        <v>225</v>
      </c>
      <c r="F26" s="775" t="s">
        <v>607</v>
      </c>
      <c r="G26" s="776"/>
      <c r="H26" s="777"/>
      <c r="I26" s="776">
        <v>6.78</v>
      </c>
      <c r="J26" s="777">
        <v>8.36</v>
      </c>
    </row>
    <row r="27" spans="2:10" ht="12.75">
      <c r="B27" s="774"/>
      <c r="C27" s="766"/>
      <c r="D27" s="770"/>
      <c r="E27" s="766" t="s">
        <v>357</v>
      </c>
      <c r="F27" s="775" t="s">
        <v>607</v>
      </c>
      <c r="G27" s="776"/>
      <c r="H27" s="777"/>
      <c r="I27" s="776">
        <v>8.37</v>
      </c>
      <c r="J27" s="777">
        <v>10.38</v>
      </c>
    </row>
    <row r="28" spans="2:10" ht="12.75">
      <c r="B28" s="774"/>
      <c r="C28" s="766"/>
      <c r="D28" s="770"/>
      <c r="E28" s="766" t="s">
        <v>358</v>
      </c>
      <c r="F28" s="775" t="s">
        <v>607</v>
      </c>
      <c r="G28" s="776"/>
      <c r="H28" s="777"/>
      <c r="I28" s="776"/>
      <c r="J28" s="777"/>
    </row>
    <row r="29" spans="2:10" ht="12.75">
      <c r="B29" s="774"/>
      <c r="C29" s="766"/>
      <c r="D29" s="770"/>
      <c r="E29" s="766" t="s">
        <v>479</v>
      </c>
      <c r="F29" s="775" t="s">
        <v>607</v>
      </c>
      <c r="G29" s="780"/>
      <c r="H29" s="781"/>
      <c r="I29" s="780"/>
      <c r="J29" s="781"/>
    </row>
    <row r="30" spans="2:10" ht="12.75">
      <c r="B30" s="774"/>
      <c r="C30" s="766"/>
      <c r="D30" s="770"/>
      <c r="E30" s="766" t="s">
        <v>480</v>
      </c>
      <c r="F30" s="775" t="s">
        <v>607</v>
      </c>
      <c r="G30" s="780"/>
      <c r="H30" s="781"/>
      <c r="I30" s="780"/>
      <c r="J30" s="781"/>
    </row>
    <row r="31" spans="2:10" ht="13.5" thickBot="1">
      <c r="B31" s="759"/>
      <c r="C31" s="760"/>
      <c r="D31" s="760"/>
      <c r="E31" s="760"/>
      <c r="F31" s="782"/>
      <c r="G31" s="783"/>
      <c r="H31" s="784"/>
      <c r="I31" s="783"/>
      <c r="J31" s="784"/>
    </row>
    <row r="32" spans="2:10" ht="12.75">
      <c r="B32" s="785"/>
      <c r="C32" s="786" t="s">
        <v>481</v>
      </c>
      <c r="D32" s="786"/>
      <c r="E32" s="787"/>
      <c r="F32" s="788"/>
      <c r="G32" s="778"/>
      <c r="H32" s="779"/>
      <c r="I32" s="778"/>
      <c r="J32" s="779"/>
    </row>
    <row r="33" spans="2:10" ht="12.75">
      <c r="B33" s="774"/>
      <c r="C33" s="766"/>
      <c r="D33" s="770" t="s">
        <v>644</v>
      </c>
      <c r="E33" s="766"/>
      <c r="F33" s="788"/>
      <c r="G33" s="778"/>
      <c r="H33" s="779"/>
      <c r="I33" s="778"/>
      <c r="J33" s="779"/>
    </row>
    <row r="34" spans="2:10" ht="12.75">
      <c r="B34" s="774"/>
      <c r="C34" s="766"/>
      <c r="D34" s="770"/>
      <c r="E34" s="766" t="s">
        <v>482</v>
      </c>
      <c r="F34" s="775" t="s">
        <v>634</v>
      </c>
      <c r="G34" s="776">
        <v>35.26</v>
      </c>
      <c r="H34" s="777">
        <v>43.017199999999995</v>
      </c>
      <c r="I34" s="776">
        <v>18.35</v>
      </c>
      <c r="J34" s="777">
        <v>20.78</v>
      </c>
    </row>
    <row r="35" spans="2:10" ht="12.75">
      <c r="B35" s="774"/>
      <c r="C35" s="766"/>
      <c r="D35" s="770"/>
      <c r="E35" s="766" t="s">
        <v>483</v>
      </c>
      <c r="F35" s="775" t="s">
        <v>634</v>
      </c>
      <c r="G35" s="776"/>
      <c r="H35" s="777"/>
      <c r="I35" s="776"/>
      <c r="J35" s="777"/>
    </row>
    <row r="36" spans="2:10" ht="12.75">
      <c r="B36" s="774"/>
      <c r="C36" s="766"/>
      <c r="D36" s="766"/>
      <c r="E36" s="766" t="s">
        <v>484</v>
      </c>
      <c r="F36" s="775" t="s">
        <v>634</v>
      </c>
      <c r="G36" s="776"/>
      <c r="H36" s="777"/>
      <c r="I36" s="776"/>
      <c r="J36" s="777"/>
    </row>
    <row r="37" spans="2:10" ht="12.75">
      <c r="B37" s="774"/>
      <c r="C37" s="766"/>
      <c r="D37" s="766"/>
      <c r="E37" s="766" t="s">
        <v>369</v>
      </c>
      <c r="F37" s="775" t="s">
        <v>634</v>
      </c>
      <c r="G37" s="776"/>
      <c r="H37" s="777"/>
      <c r="I37" s="776"/>
      <c r="J37" s="777"/>
    </row>
    <row r="38" spans="2:10" ht="12.75">
      <c r="B38" s="774"/>
      <c r="C38" s="766"/>
      <c r="D38" s="766"/>
      <c r="E38" s="766"/>
      <c r="F38" s="775"/>
      <c r="G38" s="778"/>
      <c r="H38" s="779"/>
      <c r="I38" s="778"/>
      <c r="J38" s="779"/>
    </row>
    <row r="39" spans="2:10" ht="12.75">
      <c r="B39" s="774"/>
      <c r="C39" s="766"/>
      <c r="D39" s="770" t="s">
        <v>608</v>
      </c>
      <c r="E39" s="766"/>
      <c r="F39" s="775"/>
      <c r="G39" s="778"/>
      <c r="H39" s="779"/>
      <c r="I39" s="778"/>
      <c r="J39" s="779"/>
    </row>
    <row r="40" spans="2:10" ht="12.75">
      <c r="B40" s="774"/>
      <c r="C40" s="766"/>
      <c r="D40" s="787"/>
      <c r="E40" s="766" t="s">
        <v>502</v>
      </c>
      <c r="F40" s="775" t="s">
        <v>607</v>
      </c>
      <c r="G40" s="776"/>
      <c r="H40" s="777"/>
      <c r="I40" s="776">
        <v>1.52</v>
      </c>
      <c r="J40" s="777">
        <v>2</v>
      </c>
    </row>
    <row r="41" spans="2:10" ht="12.75">
      <c r="B41" s="774"/>
      <c r="C41" s="766"/>
      <c r="D41" s="770"/>
      <c r="E41" s="766" t="s">
        <v>503</v>
      </c>
      <c r="F41" s="775" t="s">
        <v>607</v>
      </c>
      <c r="G41" s="776"/>
      <c r="H41" s="777"/>
      <c r="I41" s="776"/>
      <c r="J41" s="777"/>
    </row>
    <row r="42" spans="2:10" ht="12.75">
      <c r="B42" s="774"/>
      <c r="C42" s="766"/>
      <c r="D42" s="766"/>
      <c r="E42" s="766"/>
      <c r="F42" s="775"/>
      <c r="G42" s="778"/>
      <c r="H42" s="779"/>
      <c r="I42" s="778"/>
      <c r="J42" s="779"/>
    </row>
    <row r="43" spans="2:10" ht="12.75">
      <c r="B43" s="774"/>
      <c r="C43" s="766"/>
      <c r="D43" s="770" t="s">
        <v>504</v>
      </c>
      <c r="E43" s="766"/>
      <c r="F43" s="775"/>
      <c r="G43" s="778"/>
      <c r="H43" s="779"/>
      <c r="I43" s="778"/>
      <c r="J43" s="779"/>
    </row>
    <row r="44" spans="2:10" ht="12.75">
      <c r="B44" s="774"/>
      <c r="C44" s="766"/>
      <c r="D44" s="770"/>
      <c r="E44" s="766" t="s">
        <v>505</v>
      </c>
      <c r="F44" s="775" t="s">
        <v>634</v>
      </c>
      <c r="G44" s="776">
        <v>32.92</v>
      </c>
      <c r="H44" s="777">
        <v>40.1624</v>
      </c>
      <c r="I44" s="776">
        <v>73.02</v>
      </c>
      <c r="J44" s="777">
        <v>84.05</v>
      </c>
    </row>
    <row r="45" spans="2:10" ht="12.75">
      <c r="B45" s="774"/>
      <c r="C45" s="766"/>
      <c r="D45" s="770"/>
      <c r="E45" s="766" t="s">
        <v>506</v>
      </c>
      <c r="F45" s="775" t="s">
        <v>634</v>
      </c>
      <c r="G45" s="776"/>
      <c r="H45" s="777"/>
      <c r="I45" s="776"/>
      <c r="J45" s="777"/>
    </row>
    <row r="46" spans="2:10" ht="12.75">
      <c r="B46" s="774"/>
      <c r="C46" s="766"/>
      <c r="D46" s="770"/>
      <c r="E46" s="766"/>
      <c r="F46" s="775"/>
      <c r="G46" s="778"/>
      <c r="H46" s="779"/>
      <c r="I46" s="778"/>
      <c r="J46" s="779"/>
    </row>
    <row r="47" spans="2:10" ht="12.75">
      <c r="B47" s="774"/>
      <c r="C47" s="766"/>
      <c r="D47" s="770" t="s">
        <v>637</v>
      </c>
      <c r="E47" s="766"/>
      <c r="F47" s="775"/>
      <c r="G47" s="778"/>
      <c r="H47" s="779"/>
      <c r="I47" s="778"/>
      <c r="J47" s="779"/>
    </row>
    <row r="48" spans="2:10" ht="12.75">
      <c r="B48" s="774"/>
      <c r="C48" s="766"/>
      <c r="D48" s="770"/>
      <c r="E48" s="766" t="s">
        <v>638</v>
      </c>
      <c r="F48" s="775" t="s">
        <v>634</v>
      </c>
      <c r="G48" s="776"/>
      <c r="H48" s="777"/>
      <c r="I48" s="776">
        <v>471.36</v>
      </c>
      <c r="J48" s="777">
        <v>535</v>
      </c>
    </row>
    <row r="49" spans="2:10" ht="12.75">
      <c r="B49" s="774"/>
      <c r="C49" s="766"/>
      <c r="D49" s="770"/>
      <c r="E49" s="766"/>
      <c r="F49" s="775"/>
      <c r="G49" s="778"/>
      <c r="H49" s="779"/>
      <c r="I49" s="778"/>
      <c r="J49" s="779"/>
    </row>
    <row r="50" spans="2:10" ht="12.75">
      <c r="B50" s="774"/>
      <c r="C50" s="766"/>
      <c r="D50" s="770" t="s">
        <v>223</v>
      </c>
      <c r="E50" s="766"/>
      <c r="F50" s="775"/>
      <c r="G50" s="778"/>
      <c r="H50" s="779"/>
      <c r="I50" s="778"/>
      <c r="J50" s="779"/>
    </row>
    <row r="51" spans="2:10" ht="12.75">
      <c r="B51" s="774"/>
      <c r="C51" s="766"/>
      <c r="D51" s="770"/>
      <c r="E51" s="766" t="s">
        <v>639</v>
      </c>
      <c r="F51" s="775" t="s">
        <v>607</v>
      </c>
      <c r="G51" s="776">
        <v>7.13</v>
      </c>
      <c r="H51" s="777">
        <v>8.698599999999999</v>
      </c>
      <c r="I51" s="776">
        <v>7.17</v>
      </c>
      <c r="J51" s="777">
        <v>8.23</v>
      </c>
    </row>
    <row r="52" spans="2:10" ht="12.75">
      <c r="B52" s="774"/>
      <c r="C52" s="766"/>
      <c r="D52" s="770"/>
      <c r="E52" s="766" t="s">
        <v>514</v>
      </c>
      <c r="F52" s="775" t="s">
        <v>607</v>
      </c>
      <c r="G52" s="776">
        <v>20.49</v>
      </c>
      <c r="H52" s="777">
        <v>24.997799999999998</v>
      </c>
      <c r="I52" s="776">
        <v>21.37</v>
      </c>
      <c r="J52" s="777">
        <v>24.46</v>
      </c>
    </row>
    <row r="53" spans="2:10" ht="12.75">
      <c r="B53" s="774"/>
      <c r="C53" s="766"/>
      <c r="D53" s="770"/>
      <c r="E53" s="766" t="s">
        <v>515</v>
      </c>
      <c r="F53" s="775" t="s">
        <v>607</v>
      </c>
      <c r="G53" s="776">
        <v>6.01</v>
      </c>
      <c r="H53" s="777">
        <v>7.332199999999999</v>
      </c>
      <c r="I53" s="776">
        <v>6.05</v>
      </c>
      <c r="J53" s="777">
        <v>6.83</v>
      </c>
    </row>
    <row r="54" spans="2:10" ht="12.75">
      <c r="B54" s="774"/>
      <c r="C54" s="766"/>
      <c r="D54" s="770"/>
      <c r="E54" s="766" t="s">
        <v>516</v>
      </c>
      <c r="F54" s="775" t="s">
        <v>607</v>
      </c>
      <c r="G54" s="776">
        <v>6.71</v>
      </c>
      <c r="H54" s="777">
        <v>8.1862</v>
      </c>
      <c r="I54" s="776">
        <v>8.17</v>
      </c>
      <c r="J54" s="777">
        <v>10.02</v>
      </c>
    </row>
    <row r="55" spans="2:10" ht="12.75">
      <c r="B55" s="774"/>
      <c r="C55" s="766"/>
      <c r="D55" s="770"/>
      <c r="E55" s="766" t="s">
        <v>387</v>
      </c>
      <c r="F55" s="775" t="s">
        <v>607</v>
      </c>
      <c r="G55" s="776">
        <v>6.99</v>
      </c>
      <c r="H55" s="777">
        <v>8.527800000000001</v>
      </c>
      <c r="I55" s="776">
        <v>10</v>
      </c>
      <c r="J55" s="777">
        <v>12.15</v>
      </c>
    </row>
    <row r="56" spans="2:10" ht="12.75">
      <c r="B56" s="774"/>
      <c r="C56" s="766"/>
      <c r="D56" s="770"/>
      <c r="E56" s="766" t="s">
        <v>388</v>
      </c>
      <c r="F56" s="775" t="s">
        <v>607</v>
      </c>
      <c r="G56" s="780"/>
      <c r="H56" s="781"/>
      <c r="I56" s="780"/>
      <c r="J56" s="781"/>
    </row>
    <row r="57" spans="2:10" ht="12.75">
      <c r="B57" s="774"/>
      <c r="C57" s="766"/>
      <c r="D57" s="770"/>
      <c r="E57" s="766" t="s">
        <v>641</v>
      </c>
      <c r="F57" s="775" t="s">
        <v>607</v>
      </c>
      <c r="G57" s="780"/>
      <c r="H57" s="781"/>
      <c r="I57" s="780"/>
      <c r="J57" s="781"/>
    </row>
    <row r="58" spans="2:10" ht="12.75">
      <c r="B58" s="774"/>
      <c r="C58" s="766"/>
      <c r="D58" s="766"/>
      <c r="E58" s="766" t="s">
        <v>254</v>
      </c>
      <c r="F58" s="775" t="s">
        <v>607</v>
      </c>
      <c r="G58" s="776"/>
      <c r="H58" s="777"/>
      <c r="I58" s="776"/>
      <c r="J58" s="777"/>
    </row>
    <row r="59" spans="2:10" ht="12.75">
      <c r="B59" s="774"/>
      <c r="C59" s="766"/>
      <c r="D59" s="766"/>
      <c r="E59" s="766" t="s">
        <v>134</v>
      </c>
      <c r="F59" s="775" t="s">
        <v>607</v>
      </c>
      <c r="G59" s="776"/>
      <c r="H59" s="777"/>
      <c r="I59" s="776"/>
      <c r="J59" s="777"/>
    </row>
    <row r="60" spans="2:10" ht="12.75">
      <c r="B60" s="774"/>
      <c r="C60" s="766"/>
      <c r="D60" s="770"/>
      <c r="E60" s="766" t="s">
        <v>135</v>
      </c>
      <c r="F60" s="775" t="s">
        <v>607</v>
      </c>
      <c r="G60" s="776"/>
      <c r="H60" s="777"/>
      <c r="I60" s="776"/>
      <c r="J60" s="777"/>
    </row>
    <row r="61" spans="2:10" ht="12.75">
      <c r="B61" s="774"/>
      <c r="C61" s="766"/>
      <c r="D61" s="770"/>
      <c r="E61" s="766" t="s">
        <v>136</v>
      </c>
      <c r="F61" s="775" t="s">
        <v>607</v>
      </c>
      <c r="G61" s="776"/>
      <c r="H61" s="777"/>
      <c r="I61" s="776"/>
      <c r="J61" s="777"/>
    </row>
    <row r="62" spans="2:10" ht="12.75">
      <c r="B62" s="774"/>
      <c r="C62" s="766"/>
      <c r="D62" s="770"/>
      <c r="E62" s="766" t="s">
        <v>139</v>
      </c>
      <c r="F62" s="775" t="s">
        <v>607</v>
      </c>
      <c r="G62" s="776"/>
      <c r="H62" s="777"/>
      <c r="I62" s="776"/>
      <c r="J62" s="777"/>
    </row>
    <row r="63" spans="2:10" ht="12.75">
      <c r="B63" s="774"/>
      <c r="C63" s="766"/>
      <c r="D63" s="770"/>
      <c r="E63" s="766" t="s">
        <v>394</v>
      </c>
      <c r="F63" s="775" t="s">
        <v>607</v>
      </c>
      <c r="G63" s="780"/>
      <c r="H63" s="781"/>
      <c r="I63" s="780"/>
      <c r="J63" s="781"/>
    </row>
    <row r="64" spans="2:10" ht="12.75">
      <c r="B64" s="774"/>
      <c r="C64" s="766"/>
      <c r="D64" s="770"/>
      <c r="E64" s="766" t="s">
        <v>257</v>
      </c>
      <c r="F64" s="775" t="s">
        <v>607</v>
      </c>
      <c r="G64" s="780"/>
      <c r="H64" s="781"/>
      <c r="I64" s="780"/>
      <c r="J64" s="781"/>
    </row>
    <row r="65" spans="2:10" ht="12.75">
      <c r="B65" s="774"/>
      <c r="C65" s="766"/>
      <c r="D65" s="770"/>
      <c r="E65" s="766"/>
      <c r="F65" s="788"/>
      <c r="G65" s="778"/>
      <c r="H65" s="779"/>
      <c r="I65" s="778"/>
      <c r="J65" s="779"/>
    </row>
    <row r="66" spans="2:10" ht="12.75">
      <c r="B66" s="774"/>
      <c r="C66" s="766"/>
      <c r="D66" s="770" t="s">
        <v>258</v>
      </c>
      <c r="E66" s="766"/>
      <c r="F66" s="788"/>
      <c r="G66" s="778"/>
      <c r="H66" s="779"/>
      <c r="I66" s="778"/>
      <c r="J66" s="779"/>
    </row>
    <row r="67" spans="2:10" ht="12.75">
      <c r="B67" s="774"/>
      <c r="C67" s="766"/>
      <c r="D67" s="770"/>
      <c r="E67" s="766" t="s">
        <v>259</v>
      </c>
      <c r="F67" s="775" t="s">
        <v>607</v>
      </c>
      <c r="G67" s="776">
        <v>1.66</v>
      </c>
      <c r="H67" s="777">
        <v>2.0252</v>
      </c>
      <c r="I67" s="776">
        <v>1.33</v>
      </c>
      <c r="J67" s="777">
        <v>1.74</v>
      </c>
    </row>
    <row r="68" spans="2:10" ht="12.75">
      <c r="B68" s="774"/>
      <c r="C68" s="766"/>
      <c r="D68" s="770"/>
      <c r="E68" s="766" t="s">
        <v>260</v>
      </c>
      <c r="F68" s="775" t="s">
        <v>607</v>
      </c>
      <c r="G68" s="776">
        <v>9.32</v>
      </c>
      <c r="H68" s="777">
        <v>11.3704</v>
      </c>
      <c r="I68" s="776">
        <v>10.86</v>
      </c>
      <c r="J68" s="777">
        <v>12.74</v>
      </c>
    </row>
    <row r="69" spans="2:10" ht="12.75">
      <c r="B69" s="774"/>
      <c r="C69" s="766"/>
      <c r="D69" s="770"/>
      <c r="E69" s="766" t="s">
        <v>261</v>
      </c>
      <c r="F69" s="775" t="s">
        <v>607</v>
      </c>
      <c r="G69" s="776"/>
      <c r="H69" s="777"/>
      <c r="I69" s="776"/>
      <c r="J69" s="777"/>
    </row>
    <row r="70" spans="2:10" ht="12.75">
      <c r="B70" s="774"/>
      <c r="C70" s="766"/>
      <c r="D70" s="770"/>
      <c r="E70" s="766" t="s">
        <v>262</v>
      </c>
      <c r="F70" s="775" t="s">
        <v>607</v>
      </c>
      <c r="G70" s="776"/>
      <c r="H70" s="777"/>
      <c r="I70" s="776"/>
      <c r="J70" s="777"/>
    </row>
    <row r="71" spans="2:10" ht="13.5" thickBot="1">
      <c r="B71" s="759"/>
      <c r="C71" s="760"/>
      <c r="D71" s="760"/>
      <c r="E71" s="760"/>
      <c r="F71" s="782"/>
      <c r="G71" s="783"/>
      <c r="H71" s="784"/>
      <c r="I71" s="783"/>
      <c r="J71" s="784"/>
    </row>
    <row r="72" spans="2:10" ht="12.75">
      <c r="B72" s="785"/>
      <c r="C72" s="786" t="s">
        <v>272</v>
      </c>
      <c r="D72" s="786"/>
      <c r="E72" s="787"/>
      <c r="F72" s="788"/>
      <c r="G72" s="778"/>
      <c r="H72" s="779"/>
      <c r="I72" s="778"/>
      <c r="J72" s="779"/>
    </row>
    <row r="73" spans="2:10" ht="12.75">
      <c r="B73" s="774"/>
      <c r="C73" s="766"/>
      <c r="D73" s="770" t="s">
        <v>644</v>
      </c>
      <c r="E73" s="766"/>
      <c r="F73" s="775"/>
      <c r="G73" s="778"/>
      <c r="H73" s="779"/>
      <c r="I73" s="778"/>
      <c r="J73" s="779"/>
    </row>
    <row r="74" spans="2:10" ht="12.75">
      <c r="B74" s="774"/>
      <c r="C74" s="766"/>
      <c r="D74" s="766"/>
      <c r="E74" s="766" t="s">
        <v>273</v>
      </c>
      <c r="F74" s="775" t="s">
        <v>634</v>
      </c>
      <c r="G74" s="776">
        <v>41.59</v>
      </c>
      <c r="H74" s="777">
        <v>50.7398</v>
      </c>
      <c r="I74" s="776">
        <v>23.76</v>
      </c>
      <c r="J74" s="777">
        <v>26.87</v>
      </c>
    </row>
    <row r="75" spans="2:10" ht="12.75">
      <c r="B75" s="774"/>
      <c r="C75" s="766"/>
      <c r="D75" s="770"/>
      <c r="E75" s="766" t="s">
        <v>274</v>
      </c>
      <c r="F75" s="775" t="s">
        <v>634</v>
      </c>
      <c r="G75" s="776"/>
      <c r="H75" s="777"/>
      <c r="I75" s="776">
        <v>29.82</v>
      </c>
      <c r="J75" s="777">
        <v>29.82</v>
      </c>
    </row>
    <row r="76" spans="2:10" ht="12.75">
      <c r="B76" s="774"/>
      <c r="C76" s="766"/>
      <c r="D76" s="770"/>
      <c r="E76" s="766" t="s">
        <v>275</v>
      </c>
      <c r="F76" s="775" t="s">
        <v>634</v>
      </c>
      <c r="G76" s="776"/>
      <c r="H76" s="777"/>
      <c r="I76" s="776"/>
      <c r="J76" s="777"/>
    </row>
    <row r="77" spans="2:10" ht="12.75">
      <c r="B77" s="774"/>
      <c r="C77" s="766"/>
      <c r="D77" s="770"/>
      <c r="E77" s="766" t="s">
        <v>276</v>
      </c>
      <c r="F77" s="775" t="s">
        <v>634</v>
      </c>
      <c r="G77" s="776"/>
      <c r="H77" s="777"/>
      <c r="I77" s="776"/>
      <c r="J77" s="777"/>
    </row>
    <row r="78" spans="2:10" ht="12.75">
      <c r="B78" s="774"/>
      <c r="C78" s="766"/>
      <c r="D78" s="770"/>
      <c r="E78" s="766"/>
      <c r="F78" s="775"/>
      <c r="G78" s="778"/>
      <c r="H78" s="779"/>
      <c r="I78" s="778"/>
      <c r="J78" s="779"/>
    </row>
    <row r="79" spans="2:10" ht="12.75">
      <c r="B79" s="774"/>
      <c r="C79" s="766"/>
      <c r="D79" s="770" t="s">
        <v>608</v>
      </c>
      <c r="E79" s="766"/>
      <c r="F79" s="775"/>
      <c r="G79" s="778"/>
      <c r="H79" s="779"/>
      <c r="I79" s="778"/>
      <c r="J79" s="779"/>
    </row>
    <row r="80" spans="2:10" ht="12.75">
      <c r="B80" s="774"/>
      <c r="C80" s="766"/>
      <c r="D80" s="766"/>
      <c r="E80" s="766" t="s">
        <v>277</v>
      </c>
      <c r="F80" s="775" t="s">
        <v>607</v>
      </c>
      <c r="G80" s="776"/>
      <c r="H80" s="777"/>
      <c r="I80" s="776">
        <v>1.99</v>
      </c>
      <c r="J80" s="777">
        <v>2.56</v>
      </c>
    </row>
    <row r="81" spans="2:10" ht="12.75">
      <c r="B81" s="774"/>
      <c r="C81" s="766"/>
      <c r="D81" s="766"/>
      <c r="E81" s="766" t="s">
        <v>278</v>
      </c>
      <c r="F81" s="775" t="s">
        <v>607</v>
      </c>
      <c r="G81" s="776"/>
      <c r="H81" s="777"/>
      <c r="I81" s="776">
        <v>39.15</v>
      </c>
      <c r="J81" s="777">
        <v>45.14</v>
      </c>
    </row>
    <row r="82" spans="2:10" ht="12.75">
      <c r="B82" s="774"/>
      <c r="C82" s="766"/>
      <c r="D82" s="770"/>
      <c r="E82" s="766" t="s">
        <v>279</v>
      </c>
      <c r="F82" s="775" t="s">
        <v>607</v>
      </c>
      <c r="G82" s="776"/>
      <c r="H82" s="777"/>
      <c r="I82" s="776"/>
      <c r="J82" s="777"/>
    </row>
    <row r="83" spans="2:10" ht="12.75">
      <c r="B83" s="774"/>
      <c r="C83" s="766"/>
      <c r="D83" s="770"/>
      <c r="E83" s="766" t="s">
        <v>280</v>
      </c>
      <c r="F83" s="775" t="s">
        <v>607</v>
      </c>
      <c r="G83" s="776"/>
      <c r="H83" s="777"/>
      <c r="I83" s="776"/>
      <c r="J83" s="777"/>
    </row>
    <row r="84" spans="2:10" ht="12.75">
      <c r="B84" s="774"/>
      <c r="C84" s="766"/>
      <c r="D84" s="766"/>
      <c r="E84" s="766"/>
      <c r="F84" s="775"/>
      <c r="G84" s="778"/>
      <c r="H84" s="779"/>
      <c r="I84" s="778"/>
      <c r="J84" s="779"/>
    </row>
    <row r="85" spans="2:10" ht="12.75">
      <c r="B85" s="764"/>
      <c r="C85" s="766"/>
      <c r="D85" s="770" t="s">
        <v>504</v>
      </c>
      <c r="E85" s="766"/>
      <c r="F85" s="775"/>
      <c r="G85" s="778"/>
      <c r="H85" s="779"/>
      <c r="I85" s="778"/>
      <c r="J85" s="779"/>
    </row>
    <row r="86" spans="2:10" ht="12.75">
      <c r="B86" s="764"/>
      <c r="C86" s="766"/>
      <c r="D86" s="770"/>
      <c r="E86" s="766" t="s">
        <v>11</v>
      </c>
      <c r="F86" s="775" t="s">
        <v>634</v>
      </c>
      <c r="G86" s="776">
        <v>148.69</v>
      </c>
      <c r="H86" s="777">
        <v>181.40179999999998</v>
      </c>
      <c r="I86" s="776">
        <v>152.89</v>
      </c>
      <c r="J86" s="777">
        <v>172.86</v>
      </c>
    </row>
    <row r="87" spans="2:10" ht="12.75">
      <c r="B87" s="764"/>
      <c r="C87" s="766"/>
      <c r="D87" s="770"/>
      <c r="E87" s="766" t="s">
        <v>12</v>
      </c>
      <c r="F87" s="775" t="s">
        <v>634</v>
      </c>
      <c r="G87" s="776"/>
      <c r="H87" s="777"/>
      <c r="I87" s="776">
        <v>152.89</v>
      </c>
      <c r="J87" s="777">
        <v>173.08</v>
      </c>
    </row>
    <row r="88" spans="2:10" ht="12.75">
      <c r="B88" s="764"/>
      <c r="C88" s="766"/>
      <c r="D88" s="770"/>
      <c r="E88" s="766" t="s">
        <v>13</v>
      </c>
      <c r="F88" s="775" t="s">
        <v>634</v>
      </c>
      <c r="G88" s="776"/>
      <c r="H88" s="777"/>
      <c r="I88" s="776">
        <v>152.89</v>
      </c>
      <c r="J88" s="777">
        <v>172.81</v>
      </c>
    </row>
    <row r="89" spans="2:10" ht="12.75">
      <c r="B89" s="764"/>
      <c r="C89" s="766"/>
      <c r="D89" s="770"/>
      <c r="E89" s="766" t="s">
        <v>160</v>
      </c>
      <c r="F89" s="775" t="s">
        <v>634</v>
      </c>
      <c r="G89" s="776"/>
      <c r="H89" s="777"/>
      <c r="I89" s="776"/>
      <c r="J89" s="777"/>
    </row>
    <row r="90" spans="2:10" ht="12.75">
      <c r="B90" s="764"/>
      <c r="C90" s="766"/>
      <c r="D90" s="770"/>
      <c r="E90" s="766" t="s">
        <v>171</v>
      </c>
      <c r="F90" s="775" t="s">
        <v>634</v>
      </c>
      <c r="G90" s="776"/>
      <c r="H90" s="777"/>
      <c r="I90" s="776"/>
      <c r="J90" s="777"/>
    </row>
    <row r="91" spans="2:10" ht="12.75">
      <c r="B91" s="764"/>
      <c r="C91" s="766"/>
      <c r="D91" s="770"/>
      <c r="E91" s="766" t="s">
        <v>172</v>
      </c>
      <c r="F91" s="775" t="s">
        <v>634</v>
      </c>
      <c r="G91" s="776"/>
      <c r="H91" s="777"/>
      <c r="I91" s="776"/>
      <c r="J91" s="777"/>
    </row>
    <row r="92" spans="2:10" ht="12.75">
      <c r="B92" s="764"/>
      <c r="C92" s="766"/>
      <c r="D92" s="766"/>
      <c r="E92" s="766"/>
      <c r="F92" s="775"/>
      <c r="G92" s="778"/>
      <c r="H92" s="779"/>
      <c r="I92" s="778"/>
      <c r="J92" s="779"/>
    </row>
    <row r="93" spans="2:10" ht="12.75">
      <c r="B93" s="764"/>
      <c r="C93" s="766"/>
      <c r="D93" s="770" t="s">
        <v>637</v>
      </c>
      <c r="E93" s="766"/>
      <c r="F93" s="775"/>
      <c r="G93" s="778"/>
      <c r="H93" s="779"/>
      <c r="I93" s="778"/>
      <c r="J93" s="779"/>
    </row>
    <row r="94" spans="2:10" ht="12.75">
      <c r="B94" s="764"/>
      <c r="C94" s="766"/>
      <c r="D94" s="766"/>
      <c r="E94" s="766" t="s">
        <v>122</v>
      </c>
      <c r="F94" s="775" t="s">
        <v>634</v>
      </c>
      <c r="G94" s="776"/>
      <c r="H94" s="777"/>
      <c r="I94" s="776">
        <v>1020.97</v>
      </c>
      <c r="J94" s="777">
        <v>1136.02</v>
      </c>
    </row>
    <row r="95" spans="2:10" ht="12.75">
      <c r="B95" s="764"/>
      <c r="C95" s="766"/>
      <c r="D95" s="770"/>
      <c r="E95" s="766"/>
      <c r="F95" s="775"/>
      <c r="G95" s="778"/>
      <c r="H95" s="779"/>
      <c r="I95" s="778"/>
      <c r="J95" s="779"/>
    </row>
    <row r="96" spans="2:10" ht="12.75">
      <c r="B96" s="764"/>
      <c r="C96" s="766"/>
      <c r="D96" s="770" t="s">
        <v>223</v>
      </c>
      <c r="E96" s="766"/>
      <c r="F96" s="775"/>
      <c r="G96" s="778"/>
      <c r="H96" s="779"/>
      <c r="I96" s="778"/>
      <c r="J96" s="779"/>
    </row>
    <row r="97" spans="2:10" ht="12.75">
      <c r="B97" s="764"/>
      <c r="C97" s="766"/>
      <c r="D97" s="770"/>
      <c r="E97" s="787" t="s">
        <v>123</v>
      </c>
      <c r="F97" s="775" t="s">
        <v>607</v>
      </c>
      <c r="G97" s="776">
        <v>74.24</v>
      </c>
      <c r="H97" s="777">
        <v>90.57279999999999</v>
      </c>
      <c r="I97" s="776">
        <v>59.25</v>
      </c>
      <c r="J97" s="777">
        <v>66.59</v>
      </c>
    </row>
    <row r="98" spans="2:10" ht="12.75">
      <c r="B98" s="764"/>
      <c r="C98" s="766"/>
      <c r="D98" s="770"/>
      <c r="E98" s="787" t="s">
        <v>124</v>
      </c>
      <c r="F98" s="775" t="s">
        <v>607</v>
      </c>
      <c r="G98" s="776">
        <v>51.24</v>
      </c>
      <c r="H98" s="777">
        <v>62.5128</v>
      </c>
      <c r="I98" s="776">
        <v>44.23</v>
      </c>
      <c r="J98" s="777">
        <v>51.19</v>
      </c>
    </row>
    <row r="99" spans="2:10" ht="12.75">
      <c r="B99" s="764"/>
      <c r="C99" s="766"/>
      <c r="D99" s="770"/>
      <c r="E99" s="787" t="s">
        <v>125</v>
      </c>
      <c r="F99" s="775" t="s">
        <v>607</v>
      </c>
      <c r="G99" s="776"/>
      <c r="H99" s="777"/>
      <c r="I99" s="776">
        <v>29.05</v>
      </c>
      <c r="J99" s="777">
        <v>33.12</v>
      </c>
    </row>
    <row r="100" spans="2:10" ht="12.75">
      <c r="B100" s="764"/>
      <c r="C100" s="766"/>
      <c r="D100" s="770"/>
      <c r="E100" s="787" t="s">
        <v>126</v>
      </c>
      <c r="F100" s="775" t="s">
        <v>607</v>
      </c>
      <c r="G100" s="776"/>
      <c r="H100" s="777"/>
      <c r="I100" s="776"/>
      <c r="J100" s="777"/>
    </row>
    <row r="101" spans="2:10" ht="12.75">
      <c r="B101" s="764"/>
      <c r="C101" s="766"/>
      <c r="D101" s="770"/>
      <c r="E101" s="787" t="s">
        <v>127</v>
      </c>
      <c r="F101" s="775" t="s">
        <v>607</v>
      </c>
      <c r="G101" s="776"/>
      <c r="H101" s="777"/>
      <c r="I101" s="776"/>
      <c r="J101" s="777"/>
    </row>
    <row r="102" spans="2:10" ht="12.75">
      <c r="B102" s="764"/>
      <c r="C102" s="766"/>
      <c r="D102" s="770"/>
      <c r="E102" s="787" t="s">
        <v>128</v>
      </c>
      <c r="F102" s="775" t="s">
        <v>607</v>
      </c>
      <c r="G102" s="780"/>
      <c r="H102" s="781"/>
      <c r="I102" s="780"/>
      <c r="J102" s="781"/>
    </row>
    <row r="103" spans="2:10" ht="12.75">
      <c r="B103" s="764"/>
      <c r="C103" s="766"/>
      <c r="D103" s="770"/>
      <c r="E103" s="787" t="s">
        <v>129</v>
      </c>
      <c r="F103" s="775" t="s">
        <v>607</v>
      </c>
      <c r="G103" s="776"/>
      <c r="H103" s="777"/>
      <c r="I103" s="776"/>
      <c r="J103" s="777"/>
    </row>
    <row r="104" spans="2:10" ht="12.75">
      <c r="B104" s="764"/>
      <c r="C104" s="766"/>
      <c r="D104" s="770"/>
      <c r="E104" s="787" t="s">
        <v>130</v>
      </c>
      <c r="F104" s="775" t="s">
        <v>607</v>
      </c>
      <c r="G104" s="780"/>
      <c r="H104" s="781"/>
      <c r="I104" s="780"/>
      <c r="J104" s="781"/>
    </row>
    <row r="105" spans="2:10" ht="12.75">
      <c r="B105" s="764"/>
      <c r="C105" s="766"/>
      <c r="D105" s="770"/>
      <c r="E105" s="766"/>
      <c r="F105" s="775"/>
      <c r="G105" s="778"/>
      <c r="H105" s="779"/>
      <c r="I105" s="778"/>
      <c r="J105" s="779"/>
    </row>
    <row r="106" spans="2:10" ht="12.75">
      <c r="B106" s="764"/>
      <c r="C106" s="766"/>
      <c r="D106" s="770" t="s">
        <v>258</v>
      </c>
      <c r="E106" s="766"/>
      <c r="F106" s="775"/>
      <c r="G106" s="778"/>
      <c r="H106" s="779"/>
      <c r="I106" s="778"/>
      <c r="J106" s="779"/>
    </row>
    <row r="107" spans="2:10" ht="12.75">
      <c r="B107" s="764"/>
      <c r="C107" s="766"/>
      <c r="D107" s="766"/>
      <c r="E107" s="787" t="s">
        <v>131</v>
      </c>
      <c r="F107" s="775" t="s">
        <v>607</v>
      </c>
      <c r="G107" s="776"/>
      <c r="H107" s="777"/>
      <c r="I107" s="776"/>
      <c r="J107" s="777"/>
    </row>
    <row r="108" spans="2:10" ht="12.75">
      <c r="B108" s="764"/>
      <c r="C108" s="766"/>
      <c r="D108" s="766"/>
      <c r="E108" s="787" t="s">
        <v>132</v>
      </c>
      <c r="F108" s="775" t="s">
        <v>607</v>
      </c>
      <c r="G108" s="776">
        <v>228.25</v>
      </c>
      <c r="H108" s="777">
        <v>278.465</v>
      </c>
      <c r="I108" s="776">
        <v>223.81</v>
      </c>
      <c r="J108" s="777">
        <v>261.25</v>
      </c>
    </row>
    <row r="109" spans="2:10" ht="12.75">
      <c r="B109" s="764"/>
      <c r="C109" s="766"/>
      <c r="D109" s="766"/>
      <c r="E109" s="766" t="s">
        <v>16</v>
      </c>
      <c r="F109" s="775" t="s">
        <v>607</v>
      </c>
      <c r="G109" s="780"/>
      <c r="H109" s="781"/>
      <c r="I109" s="780"/>
      <c r="J109" s="781"/>
    </row>
    <row r="110" spans="2:10" ht="12.75">
      <c r="B110" s="764"/>
      <c r="C110" s="766"/>
      <c r="D110" s="766"/>
      <c r="E110" s="787" t="s">
        <v>304</v>
      </c>
      <c r="F110" s="775" t="s">
        <v>607</v>
      </c>
      <c r="G110" s="776"/>
      <c r="H110" s="777"/>
      <c r="I110" s="776"/>
      <c r="J110" s="777"/>
    </row>
    <row r="111" spans="2:10" ht="12.75">
      <c r="B111" s="764"/>
      <c r="C111" s="766"/>
      <c r="D111" s="770"/>
      <c r="E111" s="766" t="s">
        <v>305</v>
      </c>
      <c r="F111" s="775" t="s">
        <v>607</v>
      </c>
      <c r="G111" s="780"/>
      <c r="H111" s="781"/>
      <c r="I111" s="780"/>
      <c r="J111" s="781"/>
    </row>
    <row r="112" spans="2:10" ht="13.5" thickBot="1">
      <c r="B112" s="759"/>
      <c r="C112" s="760"/>
      <c r="D112" s="760"/>
      <c r="E112" s="760"/>
      <c r="F112" s="782"/>
      <c r="G112" s="789"/>
      <c r="H112" s="790"/>
      <c r="I112" s="789"/>
      <c r="J112" s="790"/>
    </row>
    <row r="113" spans="2:10" ht="12.75">
      <c r="B113" s="785"/>
      <c r="C113" s="786" t="s">
        <v>306</v>
      </c>
      <c r="D113" s="786"/>
      <c r="E113" s="787"/>
      <c r="F113" s="788"/>
      <c r="G113" s="778"/>
      <c r="H113" s="779"/>
      <c r="I113" s="778"/>
      <c r="J113" s="779"/>
    </row>
    <row r="114" spans="2:10" ht="12.75">
      <c r="B114" s="764"/>
      <c r="C114" s="766"/>
      <c r="D114" s="770" t="s">
        <v>644</v>
      </c>
      <c r="E114" s="766"/>
      <c r="F114" s="775"/>
      <c r="G114" s="778"/>
      <c r="H114" s="779"/>
      <c r="I114" s="778"/>
      <c r="J114" s="779"/>
    </row>
    <row r="115" spans="2:10" ht="12.75">
      <c r="B115" s="764"/>
      <c r="C115" s="766"/>
      <c r="D115" s="770"/>
      <c r="E115" s="766" t="s">
        <v>307</v>
      </c>
      <c r="F115" s="775" t="s">
        <v>634</v>
      </c>
      <c r="G115" s="776">
        <v>74.69</v>
      </c>
      <c r="H115" s="777">
        <v>91.1218</v>
      </c>
      <c r="I115" s="776">
        <v>52.85</v>
      </c>
      <c r="J115" s="777">
        <v>59.21</v>
      </c>
    </row>
    <row r="116" spans="2:10" ht="12.75">
      <c r="B116" s="764"/>
      <c r="C116" s="766"/>
      <c r="D116" s="770"/>
      <c r="E116" s="766" t="s">
        <v>308</v>
      </c>
      <c r="F116" s="775" t="s">
        <v>634</v>
      </c>
      <c r="G116" s="776">
        <v>637</v>
      </c>
      <c r="H116" s="777">
        <v>777.14</v>
      </c>
      <c r="I116" s="776">
        <v>47.77</v>
      </c>
      <c r="J116" s="777">
        <v>53.46</v>
      </c>
    </row>
    <row r="117" spans="2:10" ht="12.75">
      <c r="B117" s="764"/>
      <c r="C117" s="766"/>
      <c r="D117" s="770"/>
      <c r="E117" s="787"/>
      <c r="F117" s="775"/>
      <c r="G117" s="778"/>
      <c r="H117" s="779"/>
      <c r="I117" s="778"/>
      <c r="J117" s="779"/>
    </row>
    <row r="118" spans="2:10" ht="12.75">
      <c r="B118" s="764"/>
      <c r="C118" s="766"/>
      <c r="D118" s="770" t="s">
        <v>608</v>
      </c>
      <c r="E118" s="766"/>
      <c r="F118" s="788"/>
      <c r="G118" s="778"/>
      <c r="H118" s="779"/>
      <c r="I118" s="778"/>
      <c r="J118" s="779"/>
    </row>
    <row r="119" spans="2:10" ht="12.75">
      <c r="B119" s="764"/>
      <c r="C119" s="766"/>
      <c r="D119" s="770"/>
      <c r="E119" s="766" t="s">
        <v>309</v>
      </c>
      <c r="F119" s="775" t="s">
        <v>607</v>
      </c>
      <c r="G119" s="776"/>
      <c r="H119" s="777"/>
      <c r="I119" s="776">
        <v>2.61</v>
      </c>
      <c r="J119" s="777">
        <v>3.55</v>
      </c>
    </row>
    <row r="120" spans="2:10" ht="12.75">
      <c r="B120" s="764"/>
      <c r="C120" s="766"/>
      <c r="D120" s="770"/>
      <c r="E120" s="766" t="s">
        <v>310</v>
      </c>
      <c r="F120" s="775" t="s">
        <v>607</v>
      </c>
      <c r="G120" s="776"/>
      <c r="H120" s="777"/>
      <c r="I120" s="776">
        <v>86.15</v>
      </c>
      <c r="J120" s="777">
        <v>98.34</v>
      </c>
    </row>
    <row r="121" spans="2:10" ht="12.75">
      <c r="B121" s="764"/>
      <c r="C121" s="766"/>
      <c r="D121" s="770"/>
      <c r="E121" s="787" t="s">
        <v>185</v>
      </c>
      <c r="F121" s="775" t="s">
        <v>607</v>
      </c>
      <c r="G121" s="776"/>
      <c r="H121" s="777"/>
      <c r="I121" s="776">
        <v>2.98</v>
      </c>
      <c r="J121" s="777">
        <v>3.74</v>
      </c>
    </row>
    <row r="122" spans="2:10" ht="12.75">
      <c r="B122" s="764"/>
      <c r="C122" s="766"/>
      <c r="D122" s="766"/>
      <c r="E122" s="766"/>
      <c r="F122" s="775"/>
      <c r="G122" s="778"/>
      <c r="H122" s="779"/>
      <c r="I122" s="778"/>
      <c r="J122" s="779"/>
    </row>
    <row r="123" spans="2:10" ht="12.75">
      <c r="B123" s="764"/>
      <c r="C123" s="766"/>
      <c r="D123" s="770" t="s">
        <v>504</v>
      </c>
      <c r="E123" s="766"/>
      <c r="F123" s="788"/>
      <c r="G123" s="778"/>
      <c r="H123" s="779"/>
      <c r="I123" s="778"/>
      <c r="J123" s="779"/>
    </row>
    <row r="124" spans="2:10" ht="12.75">
      <c r="B124" s="764"/>
      <c r="C124" s="766"/>
      <c r="D124" s="766"/>
      <c r="E124" s="766" t="s">
        <v>315</v>
      </c>
      <c r="F124" s="775" t="s">
        <v>634</v>
      </c>
      <c r="G124" s="776">
        <v>1170.88</v>
      </c>
      <c r="H124" s="777">
        <v>1428.4736</v>
      </c>
      <c r="I124" s="776">
        <v>1191.4</v>
      </c>
      <c r="J124" s="777"/>
    </row>
    <row r="125" spans="2:10" ht="12.75">
      <c r="B125" s="764"/>
      <c r="C125" s="766"/>
      <c r="D125" s="766"/>
      <c r="E125" s="766" t="s">
        <v>440</v>
      </c>
      <c r="F125" s="775" t="s">
        <v>634</v>
      </c>
      <c r="G125" s="776"/>
      <c r="H125" s="777"/>
      <c r="I125" s="776">
        <v>1191.4</v>
      </c>
      <c r="J125" s="777">
        <v>1325.5</v>
      </c>
    </row>
    <row r="126" spans="2:10" ht="12.75">
      <c r="B126" s="764"/>
      <c r="C126" s="766"/>
      <c r="D126" s="766"/>
      <c r="E126" s="766" t="s">
        <v>405</v>
      </c>
      <c r="F126" s="775" t="s">
        <v>634</v>
      </c>
      <c r="G126" s="776"/>
      <c r="H126" s="777"/>
      <c r="I126" s="776"/>
      <c r="J126" s="777"/>
    </row>
    <row r="127" spans="2:10" ht="12.75">
      <c r="B127" s="764"/>
      <c r="C127" s="766"/>
      <c r="D127" s="766"/>
      <c r="E127" s="766"/>
      <c r="F127" s="771"/>
      <c r="G127" s="778"/>
      <c r="H127" s="779"/>
      <c r="I127" s="778"/>
      <c r="J127" s="779"/>
    </row>
    <row r="128" spans="2:10" ht="12.75">
      <c r="B128" s="764"/>
      <c r="C128" s="766"/>
      <c r="D128" s="770" t="s">
        <v>637</v>
      </c>
      <c r="E128" s="766"/>
      <c r="F128" s="771"/>
      <c r="G128" s="778"/>
      <c r="H128" s="779"/>
      <c r="I128" s="778"/>
      <c r="J128" s="779"/>
    </row>
    <row r="129" spans="2:10" ht="12.75">
      <c r="B129" s="764"/>
      <c r="C129" s="766"/>
      <c r="D129" s="766"/>
      <c r="E129" s="787" t="s">
        <v>406</v>
      </c>
      <c r="F129" s="775" t="s">
        <v>634</v>
      </c>
      <c r="G129" s="776"/>
      <c r="H129" s="777"/>
      <c r="I129" s="776"/>
      <c r="J129" s="777"/>
    </row>
    <row r="130" spans="2:10" ht="12.75">
      <c r="B130" s="764"/>
      <c r="C130" s="766"/>
      <c r="D130" s="766"/>
      <c r="E130" s="766"/>
      <c r="F130" s="771"/>
      <c r="G130" s="778"/>
      <c r="H130" s="779"/>
      <c r="I130" s="778"/>
      <c r="J130" s="779"/>
    </row>
    <row r="131" spans="2:10" ht="12.75">
      <c r="B131" s="764"/>
      <c r="C131" s="766"/>
      <c r="D131" s="770" t="s">
        <v>223</v>
      </c>
      <c r="E131" s="766"/>
      <c r="F131" s="771"/>
      <c r="G131" s="778"/>
      <c r="H131" s="779"/>
      <c r="I131" s="778"/>
      <c r="J131" s="779"/>
    </row>
    <row r="132" spans="2:10" ht="12.75">
      <c r="B132" s="764"/>
      <c r="C132" s="766"/>
      <c r="D132" s="766"/>
      <c r="E132" s="766" t="s">
        <v>407</v>
      </c>
      <c r="F132" s="775" t="s">
        <v>607</v>
      </c>
      <c r="G132" s="776">
        <v>120.95</v>
      </c>
      <c r="H132" s="777">
        <v>147.559</v>
      </c>
      <c r="I132" s="776">
        <v>131.08</v>
      </c>
      <c r="J132" s="777">
        <v>147.02</v>
      </c>
    </row>
    <row r="133" spans="2:10" ht="12.75">
      <c r="B133" s="764"/>
      <c r="C133" s="766"/>
      <c r="D133" s="766"/>
      <c r="E133" s="766" t="s">
        <v>535</v>
      </c>
      <c r="F133" s="775" t="s">
        <v>607</v>
      </c>
      <c r="G133" s="780"/>
      <c r="H133" s="781"/>
      <c r="I133" s="780"/>
      <c r="J133" s="781"/>
    </row>
    <row r="134" spans="2:10" ht="12.75">
      <c r="B134" s="764"/>
      <c r="C134" s="766"/>
      <c r="D134" s="766"/>
      <c r="E134" s="766"/>
      <c r="F134" s="771"/>
      <c r="G134" s="778"/>
      <c r="H134" s="779"/>
      <c r="I134" s="778"/>
      <c r="J134" s="779"/>
    </row>
    <row r="135" spans="2:10" ht="12.75">
      <c r="B135" s="764"/>
      <c r="C135" s="766"/>
      <c r="D135" s="770" t="s">
        <v>258</v>
      </c>
      <c r="E135" s="766"/>
      <c r="F135" s="775"/>
      <c r="G135" s="778"/>
      <c r="H135" s="779"/>
      <c r="I135" s="778"/>
      <c r="J135" s="779"/>
    </row>
    <row r="136" spans="2:10" ht="12.75">
      <c r="B136" s="764"/>
      <c r="C136" s="766"/>
      <c r="D136" s="766"/>
      <c r="E136" s="787" t="s">
        <v>536</v>
      </c>
      <c r="F136" s="775" t="s">
        <v>607</v>
      </c>
      <c r="G136" s="776">
        <v>975.14</v>
      </c>
      <c r="H136" s="777">
        <v>1189.6707999999999</v>
      </c>
      <c r="I136" s="776">
        <v>1018.69</v>
      </c>
      <c r="J136" s="777">
        <v>1140.57</v>
      </c>
    </row>
    <row r="137" spans="2:10" ht="12.75">
      <c r="B137" s="764"/>
      <c r="C137" s="766"/>
      <c r="D137" s="766"/>
      <c r="E137" s="787" t="s">
        <v>408</v>
      </c>
      <c r="F137" s="775" t="s">
        <v>607</v>
      </c>
      <c r="G137" s="780"/>
      <c r="H137" s="781"/>
      <c r="I137" s="780"/>
      <c r="J137" s="781"/>
    </row>
    <row r="138" spans="2:10" ht="13.5" thickBot="1">
      <c r="B138" s="759"/>
      <c r="C138" s="760"/>
      <c r="D138" s="760"/>
      <c r="E138" s="760"/>
      <c r="F138" s="782"/>
      <c r="G138" s="789"/>
      <c r="H138" s="790"/>
      <c r="I138" s="789"/>
      <c r="J138" s="790"/>
    </row>
    <row r="139" spans="2:10" ht="12.75">
      <c r="B139" s="785"/>
      <c r="C139" s="786" t="s">
        <v>284</v>
      </c>
      <c r="D139" s="786"/>
      <c r="E139" s="787"/>
      <c r="F139" s="788"/>
      <c r="G139" s="778"/>
      <c r="H139" s="779"/>
      <c r="I139" s="778"/>
      <c r="J139" s="779"/>
    </row>
    <row r="140" spans="2:10" ht="12.75">
      <c r="B140" s="764"/>
      <c r="C140" s="766"/>
      <c r="D140" s="770" t="s">
        <v>285</v>
      </c>
      <c r="E140" s="766"/>
      <c r="F140" s="775"/>
      <c r="G140" s="778"/>
      <c r="H140" s="779"/>
      <c r="I140" s="778"/>
      <c r="J140" s="779"/>
    </row>
    <row r="141" spans="2:10" ht="12.75">
      <c r="B141" s="764"/>
      <c r="C141" s="766"/>
      <c r="D141" s="766"/>
      <c r="E141" s="787" t="s">
        <v>286</v>
      </c>
      <c r="F141" s="775" t="s">
        <v>607</v>
      </c>
      <c r="G141" s="780"/>
      <c r="H141" s="781"/>
      <c r="I141" s="780"/>
      <c r="J141" s="781"/>
    </row>
    <row r="142" spans="2:10" ht="12.75">
      <c r="B142" s="764"/>
      <c r="C142" s="766"/>
      <c r="D142" s="766"/>
      <c r="E142" s="787" t="s">
        <v>538</v>
      </c>
      <c r="F142" s="775" t="s">
        <v>607</v>
      </c>
      <c r="G142" s="780"/>
      <c r="H142" s="781"/>
      <c r="I142" s="780"/>
      <c r="J142" s="781"/>
    </row>
    <row r="143" spans="2:10" ht="12.75">
      <c r="B143" s="764"/>
      <c r="C143" s="787"/>
      <c r="D143" s="770"/>
      <c r="E143" s="766"/>
      <c r="F143" s="775"/>
      <c r="G143" s="778"/>
      <c r="H143" s="779"/>
      <c r="I143" s="778"/>
      <c r="J143" s="779"/>
    </row>
    <row r="144" spans="2:10" ht="12.75">
      <c r="B144" s="764"/>
      <c r="C144" s="766"/>
      <c r="D144" s="770" t="s">
        <v>539</v>
      </c>
      <c r="E144" s="766"/>
      <c r="F144" s="775"/>
      <c r="G144" s="778"/>
      <c r="H144" s="779"/>
      <c r="I144" s="778"/>
      <c r="J144" s="779"/>
    </row>
    <row r="145" spans="2:10" ht="12.75">
      <c r="B145" s="764"/>
      <c r="C145" s="766"/>
      <c r="D145" s="766"/>
      <c r="E145" s="787" t="s">
        <v>288</v>
      </c>
      <c r="F145" s="775" t="s">
        <v>607</v>
      </c>
      <c r="G145" s="780"/>
      <c r="H145" s="781"/>
      <c r="I145" s="780"/>
      <c r="J145" s="781"/>
    </row>
    <row r="146" spans="2:10" ht="12.75">
      <c r="B146" s="764"/>
      <c r="C146" s="766"/>
      <c r="D146" s="766"/>
      <c r="E146" s="787" t="s">
        <v>289</v>
      </c>
      <c r="F146" s="775" t="s">
        <v>607</v>
      </c>
      <c r="G146" s="780"/>
      <c r="H146" s="781"/>
      <c r="I146" s="780"/>
      <c r="J146" s="781"/>
    </row>
    <row r="147" spans="2:10" ht="13.5" thickBot="1">
      <c r="B147" s="759"/>
      <c r="C147" s="760"/>
      <c r="D147" s="760"/>
      <c r="E147" s="760"/>
      <c r="F147" s="782"/>
      <c r="G147" s="791"/>
      <c r="H147" s="792"/>
      <c r="I147" s="791"/>
      <c r="J147" s="792"/>
    </row>
    <row r="148" spans="2:10" ht="13.5" thickBot="1">
      <c r="B148" s="787"/>
      <c r="C148" s="787"/>
      <c r="D148" s="787"/>
      <c r="E148" s="787"/>
      <c r="F148" s="787"/>
      <c r="G148" s="656"/>
      <c r="H148" s="656"/>
      <c r="I148" s="656"/>
      <c r="J148" s="656"/>
    </row>
    <row r="149" spans="2:10" ht="12.75">
      <c r="B149" s="793"/>
      <c r="C149" s="794" t="s">
        <v>290</v>
      </c>
      <c r="D149" s="794"/>
      <c r="E149" s="795"/>
      <c r="F149" s="796"/>
      <c r="G149" s="797"/>
      <c r="H149" s="798"/>
      <c r="I149" s="797"/>
      <c r="J149" s="798"/>
    </row>
    <row r="150" spans="2:10" ht="12.75">
      <c r="B150" s="774"/>
      <c r="C150" s="766"/>
      <c r="D150" s="770"/>
      <c r="E150" s="770" t="s">
        <v>514</v>
      </c>
      <c r="F150" s="775"/>
      <c r="G150" s="799"/>
      <c r="H150" s="800"/>
      <c r="I150" s="799"/>
      <c r="J150" s="800"/>
    </row>
    <row r="151" spans="2:10" ht="12.75">
      <c r="B151" s="774"/>
      <c r="C151" s="766"/>
      <c r="D151" s="770"/>
      <c r="E151" s="801" t="s">
        <v>291</v>
      </c>
      <c r="F151" s="775" t="s">
        <v>607</v>
      </c>
      <c r="G151" s="776">
        <v>20.49</v>
      </c>
      <c r="H151" s="777">
        <v>24.997799999999998</v>
      </c>
      <c r="I151" s="776">
        <v>21.37</v>
      </c>
      <c r="J151" s="777">
        <v>24.46</v>
      </c>
    </row>
    <row r="152" spans="2:10" ht="12.75">
      <c r="B152" s="774"/>
      <c r="C152" s="766"/>
      <c r="D152" s="770"/>
      <c r="E152" s="801" t="s">
        <v>292</v>
      </c>
      <c r="F152" s="775" t="s">
        <v>607</v>
      </c>
      <c r="G152" s="776">
        <v>20.49</v>
      </c>
      <c r="H152" s="777">
        <v>24.997799999999998</v>
      </c>
      <c r="I152" s="776">
        <v>21.37</v>
      </c>
      <c r="J152" s="777">
        <v>24.46</v>
      </c>
    </row>
    <row r="153" spans="2:10" ht="12.75">
      <c r="B153" s="774"/>
      <c r="C153" s="766"/>
      <c r="D153" s="770"/>
      <c r="E153" s="770" t="s">
        <v>136</v>
      </c>
      <c r="F153" s="775"/>
      <c r="G153" s="799"/>
      <c r="H153" s="800"/>
      <c r="I153" s="799"/>
      <c r="J153" s="800"/>
    </row>
    <row r="154" spans="2:10" ht="12.75">
      <c r="B154" s="774"/>
      <c r="C154" s="766"/>
      <c r="D154" s="770"/>
      <c r="E154" s="801" t="s">
        <v>291</v>
      </c>
      <c r="F154" s="775" t="s">
        <v>607</v>
      </c>
      <c r="G154" s="776"/>
      <c r="H154" s="777"/>
      <c r="I154" s="776"/>
      <c r="J154" s="777"/>
    </row>
    <row r="155" spans="2:10" ht="13.5" thickBot="1">
      <c r="B155" s="802"/>
      <c r="C155" s="803"/>
      <c r="D155" s="804"/>
      <c r="E155" s="805" t="s">
        <v>292</v>
      </c>
      <c r="F155" s="806" t="s">
        <v>607</v>
      </c>
      <c r="G155" s="807"/>
      <c r="H155" s="808"/>
      <c r="I155" s="807"/>
      <c r="J155" s="808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2">
      <selection activeCell="D11" sqref="D11:AK19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5" t="s">
        <v>595</v>
      </c>
      <c r="F1" s="389" t="s">
        <v>776</v>
      </c>
      <c r="H1" t="s">
        <v>156</v>
      </c>
    </row>
    <row r="3" ht="12.75">
      <c r="A3" s="385" t="s">
        <v>739</v>
      </c>
    </row>
    <row r="5" spans="3:38" ht="12.75">
      <c r="C5" s="809" t="s">
        <v>153</v>
      </c>
      <c r="D5" s="810"/>
      <c r="E5" s="810"/>
      <c r="F5" s="810"/>
      <c r="G5" s="810"/>
      <c r="H5" s="810"/>
      <c r="I5" s="809"/>
      <c r="J5" s="810"/>
      <c r="K5" s="810"/>
      <c r="L5" s="810"/>
      <c r="M5" s="810"/>
      <c r="N5" s="810"/>
      <c r="O5" s="810"/>
      <c r="P5" s="810"/>
      <c r="Q5" s="810"/>
      <c r="R5" s="810"/>
      <c r="S5" s="810"/>
      <c r="T5" s="810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1"/>
    </row>
    <row r="6" spans="3:38" ht="12.75">
      <c r="C6" s="812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813"/>
      <c r="AL6" s="814"/>
    </row>
    <row r="7" spans="3:38" ht="12.75">
      <c r="C7" s="812"/>
      <c r="D7" s="1503" t="s">
        <v>144</v>
      </c>
      <c r="E7" s="1504"/>
      <c r="F7" s="1504"/>
      <c r="G7" s="1504"/>
      <c r="H7" s="1504"/>
      <c r="I7" s="1504"/>
      <c r="J7" s="1504"/>
      <c r="K7" s="1504"/>
      <c r="L7" s="1504"/>
      <c r="M7" s="1504"/>
      <c r="N7" s="1504"/>
      <c r="O7" s="1504"/>
      <c r="P7" s="1504"/>
      <c r="Q7" s="1504"/>
      <c r="R7" s="1504"/>
      <c r="S7" s="1504"/>
      <c r="T7" s="1504"/>
      <c r="U7" s="1504"/>
      <c r="V7" s="1504"/>
      <c r="W7" s="1504"/>
      <c r="X7" s="1505"/>
      <c r="Y7" s="1500" t="s">
        <v>113</v>
      </c>
      <c r="Z7" s="1500" t="s">
        <v>114</v>
      </c>
      <c r="AA7" s="1500" t="s">
        <v>379</v>
      </c>
      <c r="AB7" s="1500" t="s">
        <v>380</v>
      </c>
      <c r="AC7" s="1500" t="s">
        <v>489</v>
      </c>
      <c r="AD7" s="1500" t="s">
        <v>629</v>
      </c>
      <c r="AE7" s="1500" t="s">
        <v>490</v>
      </c>
      <c r="AF7" s="1500" t="s">
        <v>491</v>
      </c>
      <c r="AG7" s="1500" t="s">
        <v>492</v>
      </c>
      <c r="AH7" s="1500" t="s">
        <v>364</v>
      </c>
      <c r="AI7" s="1500" t="s">
        <v>366</v>
      </c>
      <c r="AJ7" s="1500" t="s">
        <v>367</v>
      </c>
      <c r="AK7" s="1508" t="s">
        <v>251</v>
      </c>
      <c r="AL7" s="815"/>
    </row>
    <row r="8" spans="3:38" ht="12.75">
      <c r="C8" s="812"/>
      <c r="D8" s="1511" t="s">
        <v>376</v>
      </c>
      <c r="E8" s="1512"/>
      <c r="F8" s="1512"/>
      <c r="G8" s="1512"/>
      <c r="H8" s="1512"/>
      <c r="I8" s="1513"/>
      <c r="J8" s="1514" t="s">
        <v>109</v>
      </c>
      <c r="K8" s="1515"/>
      <c r="L8" s="1515"/>
      <c r="M8" s="1515"/>
      <c r="N8" s="1515"/>
      <c r="O8" s="1515"/>
      <c r="P8" s="1515"/>
      <c r="Q8" s="1515"/>
      <c r="R8" s="1515"/>
      <c r="S8" s="1515"/>
      <c r="T8" s="1515"/>
      <c r="U8" s="1515"/>
      <c r="V8" s="1515"/>
      <c r="W8" s="1515"/>
      <c r="X8" s="1516"/>
      <c r="Y8" s="1501"/>
      <c r="Z8" s="1501"/>
      <c r="AA8" s="1501"/>
      <c r="AB8" s="1501"/>
      <c r="AC8" s="1501"/>
      <c r="AD8" s="1501"/>
      <c r="AE8" s="1501"/>
      <c r="AF8" s="1501"/>
      <c r="AG8" s="1501"/>
      <c r="AH8" s="1501"/>
      <c r="AI8" s="1501"/>
      <c r="AJ8" s="1501"/>
      <c r="AK8" s="1509"/>
      <c r="AL8" s="815"/>
    </row>
    <row r="9" spans="3:38" s="839" customFormat="1" ht="131.25">
      <c r="C9" s="840" t="s">
        <v>137</v>
      </c>
      <c r="D9" s="841" t="s">
        <v>359</v>
      </c>
      <c r="E9" s="841" t="s">
        <v>215</v>
      </c>
      <c r="F9" s="841" t="s">
        <v>108</v>
      </c>
      <c r="G9" s="841" t="s">
        <v>682</v>
      </c>
      <c r="H9" s="841" t="s">
        <v>80</v>
      </c>
      <c r="I9" s="841" t="s">
        <v>684</v>
      </c>
      <c r="J9" s="841" t="s">
        <v>630</v>
      </c>
      <c r="K9" s="842" t="s">
        <v>631</v>
      </c>
      <c r="L9" s="842" t="s">
        <v>496</v>
      </c>
      <c r="M9" s="842" t="s">
        <v>497</v>
      </c>
      <c r="N9" s="842" t="s">
        <v>498</v>
      </c>
      <c r="O9" s="842" t="s">
        <v>499</v>
      </c>
      <c r="P9" s="842" t="s">
        <v>781</v>
      </c>
      <c r="Q9" s="842" t="s">
        <v>782</v>
      </c>
      <c r="R9" s="842" t="s">
        <v>390</v>
      </c>
      <c r="S9" s="842" t="s">
        <v>255</v>
      </c>
      <c r="T9" s="842" t="s">
        <v>389</v>
      </c>
      <c r="U9" s="842" t="s">
        <v>642</v>
      </c>
      <c r="V9" s="842" t="s">
        <v>138</v>
      </c>
      <c r="W9" s="842" t="s">
        <v>726</v>
      </c>
      <c r="X9" s="842" t="s">
        <v>112</v>
      </c>
      <c r="Y9" s="1502"/>
      <c r="Z9" s="1502"/>
      <c r="AA9" s="1502"/>
      <c r="AB9" s="1502"/>
      <c r="AC9" s="1502"/>
      <c r="AD9" s="1502"/>
      <c r="AE9" s="1502"/>
      <c r="AF9" s="1502"/>
      <c r="AG9" s="1502"/>
      <c r="AH9" s="1502"/>
      <c r="AI9" s="1502"/>
      <c r="AJ9" s="1502"/>
      <c r="AK9" s="1510"/>
      <c r="AL9" s="843"/>
    </row>
    <row r="10" spans="3:38" ht="12.75">
      <c r="C10" s="816"/>
      <c r="D10" s="817" t="s">
        <v>597</v>
      </c>
      <c r="E10" s="817" t="s">
        <v>597</v>
      </c>
      <c r="F10" s="817" t="s">
        <v>597</v>
      </c>
      <c r="G10" s="817" t="s">
        <v>597</v>
      </c>
      <c r="H10" s="817" t="s">
        <v>597</v>
      </c>
      <c r="I10" s="817" t="s">
        <v>597</v>
      </c>
      <c r="J10" s="817" t="s">
        <v>597</v>
      </c>
      <c r="K10" s="817" t="s">
        <v>597</v>
      </c>
      <c r="L10" s="817" t="s">
        <v>597</v>
      </c>
      <c r="M10" s="817" t="s">
        <v>597</v>
      </c>
      <c r="N10" s="817" t="s">
        <v>597</v>
      </c>
      <c r="O10" s="817" t="s">
        <v>597</v>
      </c>
      <c r="P10" s="817" t="s">
        <v>597</v>
      </c>
      <c r="Q10" s="817" t="s">
        <v>597</v>
      </c>
      <c r="R10" s="817" t="s">
        <v>597</v>
      </c>
      <c r="S10" s="817" t="s">
        <v>597</v>
      </c>
      <c r="T10" s="817" t="s">
        <v>597</v>
      </c>
      <c r="U10" s="817" t="s">
        <v>597</v>
      </c>
      <c r="V10" s="817" t="s">
        <v>597</v>
      </c>
      <c r="W10" s="817" t="s">
        <v>597</v>
      </c>
      <c r="X10" s="817" t="s">
        <v>597</v>
      </c>
      <c r="Y10" s="817" t="s">
        <v>597</v>
      </c>
      <c r="Z10" s="817" t="s">
        <v>597</v>
      </c>
      <c r="AA10" s="817" t="s">
        <v>597</v>
      </c>
      <c r="AB10" s="817" t="s">
        <v>597</v>
      </c>
      <c r="AC10" s="817" t="s">
        <v>597</v>
      </c>
      <c r="AD10" s="817" t="s">
        <v>597</v>
      </c>
      <c r="AE10" s="817" t="s">
        <v>597</v>
      </c>
      <c r="AF10" s="817" t="s">
        <v>597</v>
      </c>
      <c r="AG10" s="817" t="s">
        <v>597</v>
      </c>
      <c r="AH10" s="817" t="s">
        <v>597</v>
      </c>
      <c r="AI10" s="817" t="s">
        <v>597</v>
      </c>
      <c r="AJ10" s="817" t="s">
        <v>597</v>
      </c>
      <c r="AK10" s="817" t="s">
        <v>597</v>
      </c>
      <c r="AL10" s="814"/>
    </row>
    <row r="11" spans="3:38" ht="12.75">
      <c r="C11" s="818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19"/>
      <c r="AJ11" s="819"/>
      <c r="AK11" s="819"/>
      <c r="AL11" s="814"/>
    </row>
    <row r="12" spans="3:38" ht="12.75">
      <c r="C12" s="820" t="s">
        <v>140</v>
      </c>
      <c r="D12" s="821">
        <v>1.4000000000000075</v>
      </c>
      <c r="E12" s="821">
        <v>44.5</v>
      </c>
      <c r="F12" s="821">
        <v>14.9</v>
      </c>
      <c r="G12" s="821">
        <v>13.5</v>
      </c>
      <c r="H12" s="821">
        <v>7</v>
      </c>
      <c r="I12" s="821">
        <v>5.3</v>
      </c>
      <c r="J12" s="821">
        <v>0.6</v>
      </c>
      <c r="K12" s="821">
        <v>4.5</v>
      </c>
      <c r="L12" s="821">
        <v>4.9</v>
      </c>
      <c r="M12" s="821">
        <v>9.6</v>
      </c>
      <c r="N12" s="821">
        <v>1.9</v>
      </c>
      <c r="O12" s="821">
        <v>1</v>
      </c>
      <c r="P12" s="821">
        <v>0.7</v>
      </c>
      <c r="Q12" s="821">
        <v>1.2</v>
      </c>
      <c r="R12" s="821">
        <v>4.2</v>
      </c>
      <c r="S12" s="821">
        <v>6.9</v>
      </c>
      <c r="T12" s="821">
        <v>3</v>
      </c>
      <c r="U12" s="821">
        <v>0.9</v>
      </c>
      <c r="V12" s="821">
        <v>1.2</v>
      </c>
      <c r="W12" s="821">
        <v>5.9</v>
      </c>
      <c r="X12" s="821">
        <v>1.6</v>
      </c>
      <c r="Y12" s="821">
        <v>7.3</v>
      </c>
      <c r="Z12" s="821">
        <v>20.5</v>
      </c>
      <c r="AA12" s="821">
        <v>5.8</v>
      </c>
      <c r="AB12" s="821">
        <v>25.2</v>
      </c>
      <c r="AC12" s="821">
        <v>0.3</v>
      </c>
      <c r="AD12" s="821">
        <v>0.1</v>
      </c>
      <c r="AE12" s="821">
        <v>1.1</v>
      </c>
      <c r="AF12" s="821">
        <v>34</v>
      </c>
      <c r="AG12" s="821">
        <v>18.0171204</v>
      </c>
      <c r="AH12" s="821">
        <v>5.16757397</v>
      </c>
      <c r="AI12" s="821">
        <v>0</v>
      </c>
      <c r="AJ12" s="821">
        <v>-11.484694370000085</v>
      </c>
      <c r="AK12" s="821">
        <v>240.7</v>
      </c>
      <c r="AL12" s="822"/>
    </row>
    <row r="13" spans="3:38" ht="12.75">
      <c r="C13" s="820" t="s">
        <v>141</v>
      </c>
      <c r="D13" s="823"/>
      <c r="E13" s="823"/>
      <c r="F13" s="823"/>
      <c r="G13" s="823"/>
      <c r="H13" s="823"/>
      <c r="I13" s="823"/>
      <c r="J13" s="823"/>
      <c r="K13" s="823"/>
      <c r="L13" s="823"/>
      <c r="M13" s="823"/>
      <c r="N13" s="823"/>
      <c r="O13" s="823"/>
      <c r="P13" s="823"/>
      <c r="Q13" s="823"/>
      <c r="R13" s="823"/>
      <c r="S13" s="823"/>
      <c r="T13" s="823"/>
      <c r="U13" s="823"/>
      <c r="V13" s="823"/>
      <c r="W13" s="823"/>
      <c r="X13" s="823"/>
      <c r="Y13" s="823"/>
      <c r="Z13" s="823"/>
      <c r="AA13" s="823"/>
      <c r="AB13" s="823"/>
      <c r="AC13" s="823"/>
      <c r="AD13" s="823"/>
      <c r="AE13" s="823"/>
      <c r="AF13" s="823"/>
      <c r="AG13" s="823"/>
      <c r="AH13" s="823"/>
      <c r="AI13" s="823"/>
      <c r="AJ13" s="823"/>
      <c r="AK13" s="824">
        <v>0</v>
      </c>
      <c r="AL13" s="822"/>
    </row>
    <row r="14" spans="3:38" ht="12.75">
      <c r="C14" s="820" t="s">
        <v>140</v>
      </c>
      <c r="D14" s="821">
        <v>1.4000000000000075</v>
      </c>
      <c r="E14" s="821">
        <v>44.5</v>
      </c>
      <c r="F14" s="821">
        <v>14.9</v>
      </c>
      <c r="G14" s="821">
        <v>13.5</v>
      </c>
      <c r="H14" s="821">
        <v>7</v>
      </c>
      <c r="I14" s="821">
        <v>5.3</v>
      </c>
      <c r="J14" s="821">
        <v>0.6</v>
      </c>
      <c r="K14" s="821">
        <v>4.5</v>
      </c>
      <c r="L14" s="821">
        <v>4.9</v>
      </c>
      <c r="M14" s="821">
        <v>9.6</v>
      </c>
      <c r="N14" s="821">
        <v>1.9</v>
      </c>
      <c r="O14" s="821">
        <v>1</v>
      </c>
      <c r="P14" s="821">
        <v>0.7</v>
      </c>
      <c r="Q14" s="821">
        <v>1.2</v>
      </c>
      <c r="R14" s="821">
        <v>4.2</v>
      </c>
      <c r="S14" s="821">
        <v>6.9</v>
      </c>
      <c r="T14" s="821">
        <v>3</v>
      </c>
      <c r="U14" s="821">
        <v>0.9</v>
      </c>
      <c r="V14" s="821">
        <v>1.2</v>
      </c>
      <c r="W14" s="821">
        <v>5.9</v>
      </c>
      <c r="X14" s="821">
        <v>1.6</v>
      </c>
      <c r="Y14" s="821">
        <v>7.3</v>
      </c>
      <c r="Z14" s="821">
        <v>20.5</v>
      </c>
      <c r="AA14" s="821">
        <v>5.8</v>
      </c>
      <c r="AB14" s="821">
        <v>25.2</v>
      </c>
      <c r="AC14" s="821">
        <v>0.3</v>
      </c>
      <c r="AD14" s="821">
        <v>0.1</v>
      </c>
      <c r="AE14" s="821">
        <v>1.1</v>
      </c>
      <c r="AF14" s="821">
        <v>34</v>
      </c>
      <c r="AG14" s="821">
        <v>18.0171204</v>
      </c>
      <c r="AH14" s="821">
        <v>5.16757397</v>
      </c>
      <c r="AI14" s="821">
        <v>0</v>
      </c>
      <c r="AJ14" s="821">
        <v>-11.484694370000085</v>
      </c>
      <c r="AK14" s="821">
        <v>240.7</v>
      </c>
      <c r="AL14" s="822"/>
    </row>
    <row r="15" spans="3:38" ht="12.75">
      <c r="C15" s="820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1"/>
      <c r="AJ15" s="821"/>
      <c r="AK15" s="821"/>
      <c r="AL15" s="822"/>
    </row>
    <row r="16" spans="3:38" ht="12.75">
      <c r="C16" s="820" t="s">
        <v>142</v>
      </c>
      <c r="D16" s="821">
        <v>6.5</v>
      </c>
      <c r="E16" s="821">
        <v>38.6</v>
      </c>
      <c r="F16" s="821">
        <v>13.7</v>
      </c>
      <c r="G16" s="821">
        <v>12.9</v>
      </c>
      <c r="H16" s="821">
        <v>7.4</v>
      </c>
      <c r="I16" s="821">
        <v>4.9</v>
      </c>
      <c r="J16" s="821">
        <v>0.5</v>
      </c>
      <c r="K16" s="821">
        <v>3.9</v>
      </c>
      <c r="L16" s="821">
        <v>4.2</v>
      </c>
      <c r="M16" s="821">
        <v>8.2</v>
      </c>
      <c r="N16" s="821">
        <v>2.1</v>
      </c>
      <c r="O16" s="821">
        <v>0.8</v>
      </c>
      <c r="P16" s="821">
        <v>0.6</v>
      </c>
      <c r="Q16" s="821">
        <v>1.7</v>
      </c>
      <c r="R16" s="821">
        <v>4.2</v>
      </c>
      <c r="S16" s="821">
        <v>6.3</v>
      </c>
      <c r="T16" s="821">
        <v>2.7</v>
      </c>
      <c r="U16" s="821">
        <v>1</v>
      </c>
      <c r="V16" s="821">
        <v>1.1</v>
      </c>
      <c r="W16" s="821">
        <v>4.8</v>
      </c>
      <c r="X16" s="821">
        <v>1.7</v>
      </c>
      <c r="Y16" s="821">
        <v>8.3</v>
      </c>
      <c r="Z16" s="821">
        <v>10.3</v>
      </c>
      <c r="AA16" s="821">
        <v>5.8</v>
      </c>
      <c r="AB16" s="821">
        <v>28.6</v>
      </c>
      <c r="AC16" s="821">
        <v>-0.1</v>
      </c>
      <c r="AD16" s="821">
        <v>0</v>
      </c>
      <c r="AE16" s="821">
        <v>1.5</v>
      </c>
      <c r="AF16" s="821">
        <v>46.2</v>
      </c>
      <c r="AG16" s="821">
        <v>17.6</v>
      </c>
      <c r="AH16" s="821">
        <v>4.6</v>
      </c>
      <c r="AI16" s="821">
        <v>0</v>
      </c>
      <c r="AJ16" s="821">
        <v>-22.5</v>
      </c>
      <c r="AK16" s="821">
        <v>228.1</v>
      </c>
      <c r="AL16" s="825"/>
    </row>
    <row r="17" spans="3:38" ht="12.75">
      <c r="C17" s="820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1"/>
      <c r="AJ17" s="821"/>
      <c r="AK17" s="821"/>
      <c r="AL17" s="825"/>
    </row>
    <row r="18" spans="3:38" ht="12.75">
      <c r="C18" s="820" t="s">
        <v>256</v>
      </c>
      <c r="D18" s="821">
        <v>9.1</v>
      </c>
      <c r="E18" s="821">
        <v>29.5</v>
      </c>
      <c r="F18" s="821">
        <v>10.3</v>
      </c>
      <c r="G18" s="821">
        <v>14.4</v>
      </c>
      <c r="H18" s="821">
        <v>7.4</v>
      </c>
      <c r="I18" s="821">
        <v>4.2</v>
      </c>
      <c r="J18" s="821">
        <v>0.6</v>
      </c>
      <c r="K18" s="821">
        <v>4</v>
      </c>
      <c r="L18" s="821">
        <v>4</v>
      </c>
      <c r="M18" s="821">
        <v>9.7</v>
      </c>
      <c r="N18" s="821">
        <v>2.6</v>
      </c>
      <c r="O18" s="821">
        <v>0.8</v>
      </c>
      <c r="P18" s="821">
        <v>0.6</v>
      </c>
      <c r="Q18" s="821">
        <v>2</v>
      </c>
      <c r="R18" s="821">
        <v>4.1</v>
      </c>
      <c r="S18" s="821">
        <v>6.1</v>
      </c>
      <c r="T18" s="821">
        <v>4.7</v>
      </c>
      <c r="U18" s="821">
        <v>0.8</v>
      </c>
      <c r="V18" s="821">
        <v>0.7</v>
      </c>
      <c r="W18" s="821">
        <v>4.6</v>
      </c>
      <c r="X18" s="821">
        <v>2</v>
      </c>
      <c r="Y18" s="821">
        <v>1.9</v>
      </c>
      <c r="Z18" s="821">
        <v>7.4</v>
      </c>
      <c r="AA18" s="821">
        <v>6.4</v>
      </c>
      <c r="AB18" s="821">
        <v>34.6</v>
      </c>
      <c r="AC18" s="821">
        <v>0</v>
      </c>
      <c r="AD18" s="821">
        <v>0</v>
      </c>
      <c r="AE18" s="821">
        <v>0</v>
      </c>
      <c r="AF18" s="821">
        <v>44.2</v>
      </c>
      <c r="AG18" s="821">
        <v>17.1</v>
      </c>
      <c r="AH18" s="821">
        <v>4.1</v>
      </c>
      <c r="AI18" s="821">
        <v>0</v>
      </c>
      <c r="AJ18" s="821">
        <v>-26</v>
      </c>
      <c r="AK18" s="821">
        <v>211.9</v>
      </c>
      <c r="AL18" s="825"/>
    </row>
    <row r="19" spans="3:38" ht="12.75">
      <c r="C19" s="826"/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2"/>
    </row>
    <row r="20" spans="3:38" ht="12.75">
      <c r="C20" s="813"/>
      <c r="D20" s="828"/>
      <c r="E20" s="828"/>
      <c r="F20" s="828"/>
      <c r="G20" s="828"/>
      <c r="H20" s="828"/>
      <c r="I20" s="828"/>
      <c r="J20" s="828"/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8"/>
      <c r="AJ20" s="828"/>
      <c r="AK20" s="828"/>
      <c r="AL20" s="822"/>
    </row>
    <row r="21" spans="3:38" ht="12.75">
      <c r="C21" s="829" t="s">
        <v>229</v>
      </c>
      <c r="D21" s="829"/>
      <c r="E21" s="829"/>
      <c r="F21" s="830"/>
      <c r="G21" s="831"/>
      <c r="H21" s="831"/>
      <c r="I21" s="831"/>
      <c r="J21" s="831"/>
      <c r="K21" s="831"/>
      <c r="L21" s="831"/>
      <c r="M21" s="831"/>
      <c r="N21" s="831"/>
      <c r="O21" s="831"/>
      <c r="P21" s="831"/>
      <c r="Q21" s="831"/>
      <c r="R21" s="832"/>
      <c r="S21" s="829"/>
      <c r="T21" s="829"/>
      <c r="U21" s="829"/>
      <c r="V21" s="829"/>
      <c r="W21" s="829"/>
      <c r="X21" s="829"/>
      <c r="Y21" s="829"/>
      <c r="Z21" s="829"/>
      <c r="AA21" s="829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2"/>
    </row>
    <row r="22" spans="3:38" ht="12.75">
      <c r="C22" s="829">
        <v>1</v>
      </c>
      <c r="D22" s="1506" t="s">
        <v>0</v>
      </c>
      <c r="E22" s="1507"/>
      <c r="F22" s="1507"/>
      <c r="G22" s="1507"/>
      <c r="H22" s="1507"/>
      <c r="I22" s="1507"/>
      <c r="J22" s="1507"/>
      <c r="K22" s="1507"/>
      <c r="L22" s="1507"/>
      <c r="M22" s="1507"/>
      <c r="N22" s="1507"/>
      <c r="O22" s="1507"/>
      <c r="P22" s="1507"/>
      <c r="Q22" s="1507"/>
      <c r="R22" s="1507"/>
      <c r="S22" s="1507"/>
      <c r="T22" s="1507"/>
      <c r="U22" s="1507"/>
      <c r="V22" s="1507"/>
      <c r="W22" s="1507"/>
      <c r="X22" s="1507"/>
      <c r="Y22" s="1507"/>
      <c r="Z22" s="1507"/>
      <c r="AA22" s="1507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2"/>
    </row>
    <row r="23" spans="3:38" ht="12.75">
      <c r="C23" s="829">
        <v>2</v>
      </c>
      <c r="D23" s="1506" t="s">
        <v>154</v>
      </c>
      <c r="E23" s="1507"/>
      <c r="F23" s="1507"/>
      <c r="G23" s="1507"/>
      <c r="H23" s="1507"/>
      <c r="I23" s="1507"/>
      <c r="J23" s="1507"/>
      <c r="K23" s="1507"/>
      <c r="L23" s="1507"/>
      <c r="M23" s="1507"/>
      <c r="N23" s="1507"/>
      <c r="O23" s="1507"/>
      <c r="P23" s="1507"/>
      <c r="Q23" s="1507"/>
      <c r="R23" s="1507"/>
      <c r="S23" s="1507"/>
      <c r="T23" s="1507"/>
      <c r="U23" s="1507"/>
      <c r="V23" s="1507"/>
      <c r="W23" s="1507"/>
      <c r="X23" s="1507"/>
      <c r="Y23" s="1507"/>
      <c r="Z23" s="1507"/>
      <c r="AA23" s="1507"/>
      <c r="AB23" s="828"/>
      <c r="AC23" s="828"/>
      <c r="AD23" s="828"/>
      <c r="AE23" s="828"/>
      <c r="AF23" s="828"/>
      <c r="AG23" s="828"/>
      <c r="AH23" s="828"/>
      <c r="AI23" s="828"/>
      <c r="AJ23" s="828"/>
      <c r="AK23" s="828"/>
      <c r="AL23" s="822"/>
    </row>
    <row r="24" spans="3:38" ht="12.75">
      <c r="C24" s="829">
        <v>3</v>
      </c>
      <c r="D24" s="1506" t="s">
        <v>45</v>
      </c>
      <c r="E24" s="1507"/>
      <c r="F24" s="1507"/>
      <c r="G24" s="1507"/>
      <c r="H24" s="1507"/>
      <c r="I24" s="1507"/>
      <c r="J24" s="1507"/>
      <c r="K24" s="1507"/>
      <c r="L24" s="1507"/>
      <c r="M24" s="1507"/>
      <c r="N24" s="1507"/>
      <c r="O24" s="1507"/>
      <c r="P24" s="1507"/>
      <c r="Q24" s="1507"/>
      <c r="R24" s="1507"/>
      <c r="S24" s="1507"/>
      <c r="T24" s="1507"/>
      <c r="U24" s="1507"/>
      <c r="V24" s="1507"/>
      <c r="W24" s="1507"/>
      <c r="X24" s="1507"/>
      <c r="Y24" s="1507"/>
      <c r="Z24" s="1507"/>
      <c r="AA24" s="1507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2"/>
    </row>
    <row r="25" spans="3:38" ht="12.75">
      <c r="C25" s="829">
        <v>4</v>
      </c>
      <c r="D25" s="1506" t="s">
        <v>158</v>
      </c>
      <c r="E25" s="1507"/>
      <c r="F25" s="1507"/>
      <c r="G25" s="1507"/>
      <c r="H25" s="1507"/>
      <c r="I25" s="1507"/>
      <c r="J25" s="1507"/>
      <c r="K25" s="1507"/>
      <c r="L25" s="1507"/>
      <c r="M25" s="1507"/>
      <c r="N25" s="1507"/>
      <c r="O25" s="1507"/>
      <c r="P25" s="1507"/>
      <c r="Q25" s="1507"/>
      <c r="R25" s="1507"/>
      <c r="S25" s="1507"/>
      <c r="T25" s="1507"/>
      <c r="U25" s="1507"/>
      <c r="V25" s="1507"/>
      <c r="W25" s="1507"/>
      <c r="X25" s="1507"/>
      <c r="Y25" s="1507"/>
      <c r="Z25" s="1507"/>
      <c r="AA25" s="1507"/>
      <c r="AB25" s="828"/>
      <c r="AC25" s="828"/>
      <c r="AD25" s="828"/>
      <c r="AE25" s="828"/>
      <c r="AF25" s="828"/>
      <c r="AG25" s="828"/>
      <c r="AH25" s="828"/>
      <c r="AI25" s="828"/>
      <c r="AJ25" s="828"/>
      <c r="AK25" s="828"/>
      <c r="AL25" s="822"/>
    </row>
    <row r="26" spans="3:38" ht="12.75">
      <c r="C26" s="829">
        <v>5</v>
      </c>
      <c r="D26" s="1506" t="s">
        <v>10</v>
      </c>
      <c r="E26" s="1507"/>
      <c r="F26" s="1507"/>
      <c r="G26" s="1507"/>
      <c r="H26" s="1507"/>
      <c r="I26" s="1507"/>
      <c r="J26" s="1507"/>
      <c r="K26" s="1507"/>
      <c r="L26" s="1507"/>
      <c r="M26" s="1507"/>
      <c r="N26" s="1507"/>
      <c r="O26" s="1507"/>
      <c r="P26" s="1507"/>
      <c r="Q26" s="1507"/>
      <c r="R26" s="1507"/>
      <c r="S26" s="1507"/>
      <c r="T26" s="1507"/>
      <c r="U26" s="1507"/>
      <c r="V26" s="1507"/>
      <c r="W26" s="1507"/>
      <c r="X26" s="1507"/>
      <c r="Y26" s="1507"/>
      <c r="Z26" s="1507"/>
      <c r="AA26" s="1507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2"/>
    </row>
    <row r="27" spans="3:38" ht="12.75">
      <c r="C27" s="833"/>
      <c r="D27" s="834"/>
      <c r="E27" s="834"/>
      <c r="F27" s="834"/>
      <c r="G27" s="834"/>
      <c r="H27" s="834"/>
      <c r="I27" s="834"/>
      <c r="J27" s="834"/>
      <c r="K27" s="834"/>
      <c r="L27" s="834"/>
      <c r="M27" s="834"/>
      <c r="N27" s="834"/>
      <c r="O27" s="834"/>
      <c r="P27" s="834"/>
      <c r="Q27" s="834"/>
      <c r="R27" s="834"/>
      <c r="S27" s="834"/>
      <c r="T27" s="834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834"/>
      <c r="AK27" s="834"/>
      <c r="AL27" s="835"/>
    </row>
  </sheetData>
  <sheetProtection/>
  <mergeCells count="21"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D26:AA26"/>
    <mergeCell ref="D22:AA22"/>
    <mergeCell ref="D23:AA23"/>
    <mergeCell ref="D24:AA24"/>
    <mergeCell ref="D25:AA25"/>
    <mergeCell ref="AA7:AA9"/>
    <mergeCell ref="AJ7:AJ9"/>
    <mergeCell ref="AE7:AE9"/>
    <mergeCell ref="D7:X7"/>
    <mergeCell ref="Y7:Y9"/>
    <mergeCell ref="Z7:Z9"/>
    <mergeCell ref="AD7:AD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K17" sqref="K17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5" t="s">
        <v>595</v>
      </c>
      <c r="E1" s="389" t="s">
        <v>776</v>
      </c>
    </row>
    <row r="2" ht="12.75">
      <c r="A2" s="385"/>
    </row>
    <row r="3" ht="12.75">
      <c r="A3" s="385" t="s">
        <v>739</v>
      </c>
    </row>
    <row r="5" spans="1:18" ht="16.5" thickBot="1">
      <c r="A5" s="947" t="s">
        <v>446</v>
      </c>
      <c r="B5" s="853"/>
      <c r="C5" s="853"/>
      <c r="D5" s="854"/>
      <c r="E5" s="853"/>
      <c r="F5" s="853"/>
      <c r="G5" s="853"/>
      <c r="H5" s="853"/>
      <c r="I5" s="853"/>
      <c r="J5" s="853"/>
      <c r="K5" s="853"/>
      <c r="L5" s="853"/>
      <c r="M5" s="853"/>
      <c r="N5" s="853"/>
      <c r="O5" s="853"/>
      <c r="P5" s="853"/>
      <c r="Q5" s="853"/>
      <c r="R5" s="853"/>
    </row>
    <row r="6" spans="1:18" ht="13.5" thickBot="1">
      <c r="A6" s="853"/>
      <c r="B6" s="853"/>
      <c r="C6" s="853"/>
      <c r="D6" s="854"/>
      <c r="E6" s="853"/>
      <c r="F6" s="853"/>
      <c r="G6" s="853"/>
      <c r="H6" s="853"/>
      <c r="I6" s="853"/>
      <c r="J6" s="853"/>
      <c r="K6" s="853"/>
      <c r="L6" s="853"/>
      <c r="M6" s="1572" t="s">
        <v>34</v>
      </c>
      <c r="N6" s="1573"/>
      <c r="O6" s="1573"/>
      <c r="P6" s="1573"/>
      <c r="Q6" s="1574"/>
      <c r="R6" s="853"/>
    </row>
    <row r="7" spans="1:18" s="954" customFormat="1" ht="13.5" thickBot="1">
      <c r="A7" s="948"/>
      <c r="B7" s="948"/>
      <c r="C7" s="948"/>
      <c r="D7" s="949"/>
      <c r="E7" s="1575" t="s">
        <v>583</v>
      </c>
      <c r="F7" s="1576"/>
      <c r="G7" s="1577"/>
      <c r="H7" s="950"/>
      <c r="I7" s="1578" t="s">
        <v>584</v>
      </c>
      <c r="J7" s="1579"/>
      <c r="K7" s="1580"/>
      <c r="L7" s="951"/>
      <c r="M7" s="1581" t="s">
        <v>583</v>
      </c>
      <c r="N7" s="1582"/>
      <c r="O7" s="1583"/>
      <c r="P7" s="952"/>
      <c r="Q7" s="1587" t="s">
        <v>682</v>
      </c>
      <c r="R7" s="953"/>
    </row>
    <row r="8" spans="1:18" ht="26.25" thickBot="1">
      <c r="A8" s="855"/>
      <c r="B8" s="855"/>
      <c r="C8" s="855"/>
      <c r="D8" s="857"/>
      <c r="E8" s="955"/>
      <c r="F8" s="956" t="s">
        <v>585</v>
      </c>
      <c r="G8" s="957"/>
      <c r="H8" s="950"/>
      <c r="I8" s="958" t="s">
        <v>585</v>
      </c>
      <c r="J8" s="851"/>
      <c r="K8" s="959" t="s">
        <v>586</v>
      </c>
      <c r="L8" s="844"/>
      <c r="M8" s="1584"/>
      <c r="N8" s="1585"/>
      <c r="O8" s="1586"/>
      <c r="P8" s="844"/>
      <c r="Q8" s="1588"/>
      <c r="R8" s="859"/>
    </row>
    <row r="9" spans="1:18" ht="16.5" thickBot="1">
      <c r="A9" s="1562" t="s">
        <v>449</v>
      </c>
      <c r="B9" s="1563"/>
      <c r="C9" s="1564"/>
      <c r="D9" s="860"/>
      <c r="E9" s="960" t="s">
        <v>450</v>
      </c>
      <c r="F9" s="961" t="s">
        <v>461</v>
      </c>
      <c r="G9" s="962" t="s">
        <v>462</v>
      </c>
      <c r="H9" s="963"/>
      <c r="I9" s="964" t="s">
        <v>462</v>
      </c>
      <c r="J9" s="965"/>
      <c r="K9" s="966" t="s">
        <v>462</v>
      </c>
      <c r="L9" s="967"/>
      <c r="M9" s="968" t="s">
        <v>450</v>
      </c>
      <c r="N9" s="969" t="s">
        <v>461</v>
      </c>
      <c r="O9" s="970" t="s">
        <v>462</v>
      </c>
      <c r="P9" s="967"/>
      <c r="Q9" s="966" t="s">
        <v>462</v>
      </c>
      <c r="R9" s="859"/>
    </row>
    <row r="10" spans="1:18" ht="16.5" thickBot="1">
      <c r="A10" s="1565"/>
      <c r="B10" s="1566"/>
      <c r="C10" s="1567"/>
      <c r="D10" s="860"/>
      <c r="E10" s="971" t="s">
        <v>597</v>
      </c>
      <c r="F10" s="972" t="s">
        <v>597</v>
      </c>
      <c r="G10" s="973" t="s">
        <v>597</v>
      </c>
      <c r="H10" s="974"/>
      <c r="I10" s="975" t="s">
        <v>597</v>
      </c>
      <c r="J10" s="965"/>
      <c r="K10" s="975" t="s">
        <v>597</v>
      </c>
      <c r="L10" s="967"/>
      <c r="M10" s="976" t="s">
        <v>597</v>
      </c>
      <c r="N10" s="977" t="s">
        <v>597</v>
      </c>
      <c r="O10" s="975" t="s">
        <v>597</v>
      </c>
      <c r="P10" s="967"/>
      <c r="Q10" s="975" t="s">
        <v>597</v>
      </c>
      <c r="R10" s="859"/>
    </row>
    <row r="11" spans="1:18" ht="14.25">
      <c r="A11" s="1568" t="s">
        <v>463</v>
      </c>
      <c r="B11" s="1570" t="s">
        <v>715</v>
      </c>
      <c r="C11" s="1571"/>
      <c r="D11" s="863"/>
      <c r="E11" s="1561"/>
      <c r="F11" s="1561">
        <v>0.2</v>
      </c>
      <c r="G11" s="1589">
        <v>0.2</v>
      </c>
      <c r="H11" s="864"/>
      <c r="I11" s="865">
        <v>0.7</v>
      </c>
      <c r="J11" s="857"/>
      <c r="K11" s="865">
        <v>0.1</v>
      </c>
      <c r="L11" s="859"/>
      <c r="M11" s="859"/>
      <c r="N11" s="859"/>
      <c r="O11" s="859"/>
      <c r="P11" s="859"/>
      <c r="Q11" s="859"/>
      <c r="R11" s="859"/>
    </row>
    <row r="12" spans="1:18" ht="14.25">
      <c r="A12" s="1569"/>
      <c r="B12" s="1551" t="s">
        <v>672</v>
      </c>
      <c r="C12" s="1552"/>
      <c r="D12" s="863"/>
      <c r="E12" s="1560"/>
      <c r="F12" s="1560"/>
      <c r="G12" s="1541"/>
      <c r="H12" s="864"/>
      <c r="I12" s="868">
        <v>1.4</v>
      </c>
      <c r="J12" s="857"/>
      <c r="K12" s="868"/>
      <c r="L12" s="859"/>
      <c r="M12" s="859"/>
      <c r="N12" s="859"/>
      <c r="O12" s="859"/>
      <c r="P12" s="859"/>
      <c r="Q12" s="859"/>
      <c r="R12" s="859"/>
    </row>
    <row r="13" spans="1:18" ht="14.25">
      <c r="A13" s="1553" t="s">
        <v>532</v>
      </c>
      <c r="B13" s="1556" t="s">
        <v>783</v>
      </c>
      <c r="C13" s="1557"/>
      <c r="D13" s="863"/>
      <c r="E13" s="1239">
        <v>0.3</v>
      </c>
      <c r="F13" s="1239">
        <v>0.6</v>
      </c>
      <c r="G13" s="869">
        <v>0.9</v>
      </c>
      <c r="H13" s="864"/>
      <c r="I13" s="868">
        <v>1.5</v>
      </c>
      <c r="J13" s="857"/>
      <c r="K13" s="868">
        <v>0.5</v>
      </c>
      <c r="L13" s="859"/>
      <c r="M13" s="859"/>
      <c r="N13" s="859"/>
      <c r="O13" s="859"/>
      <c r="P13" s="859"/>
      <c r="Q13" s="859"/>
      <c r="R13" s="859"/>
    </row>
    <row r="14" spans="1:18" ht="14.25">
      <c r="A14" s="1554"/>
      <c r="B14" s="1542" t="s">
        <v>464</v>
      </c>
      <c r="C14" s="1543"/>
      <c r="D14" s="863"/>
      <c r="E14" s="1558"/>
      <c r="F14" s="1558">
        <v>0.1</v>
      </c>
      <c r="G14" s="1539">
        <v>0.1</v>
      </c>
      <c r="H14" s="864"/>
      <c r="I14" s="868">
        <v>1.8</v>
      </c>
      <c r="J14" s="857"/>
      <c r="K14" s="868"/>
      <c r="L14" s="859"/>
      <c r="M14" s="859"/>
      <c r="N14" s="859"/>
      <c r="O14" s="859"/>
      <c r="P14" s="859"/>
      <c r="Q14" s="859"/>
      <c r="R14" s="859"/>
    </row>
    <row r="15" spans="1:18" ht="14.25">
      <c r="A15" s="1554"/>
      <c r="B15" s="1542" t="s">
        <v>601</v>
      </c>
      <c r="C15" s="1543"/>
      <c r="D15" s="863"/>
      <c r="E15" s="1559"/>
      <c r="F15" s="1559"/>
      <c r="G15" s="1540"/>
      <c r="H15" s="864"/>
      <c r="I15" s="868">
        <v>2.4</v>
      </c>
      <c r="J15" s="857"/>
      <c r="K15" s="868"/>
      <c r="L15" s="859"/>
      <c r="M15" s="859"/>
      <c r="N15" s="859"/>
      <c r="O15" s="859"/>
      <c r="P15" s="859"/>
      <c r="Q15" s="859"/>
      <c r="R15" s="859"/>
    </row>
    <row r="16" spans="1:18" ht="15" thickBot="1">
      <c r="A16" s="1555"/>
      <c r="B16" s="1544" t="s">
        <v>643</v>
      </c>
      <c r="C16" s="1545"/>
      <c r="D16" s="863"/>
      <c r="E16" s="1560"/>
      <c r="F16" s="1560"/>
      <c r="G16" s="1541"/>
      <c r="H16" s="864"/>
      <c r="I16" s="870">
        <v>0.7</v>
      </c>
      <c r="J16" s="857"/>
      <c r="K16" s="870"/>
      <c r="L16" s="859"/>
      <c r="M16" s="859"/>
      <c r="N16" s="859"/>
      <c r="O16" s="859"/>
      <c r="P16" s="859"/>
      <c r="Q16" s="859"/>
      <c r="R16" s="859"/>
    </row>
    <row r="17" spans="1:18" ht="14.25">
      <c r="A17" s="1528" t="s">
        <v>602</v>
      </c>
      <c r="B17" s="1547" t="s">
        <v>644</v>
      </c>
      <c r="C17" s="1548"/>
      <c r="D17" s="871"/>
      <c r="E17" s="1239">
        <v>0.6</v>
      </c>
      <c r="F17" s="1239">
        <v>0.2</v>
      </c>
      <c r="G17" s="869">
        <v>0.8</v>
      </c>
      <c r="H17" s="864"/>
      <c r="I17" s="872">
        <v>1</v>
      </c>
      <c r="J17" s="857"/>
      <c r="K17" s="872">
        <v>0.2</v>
      </c>
      <c r="L17" s="859"/>
      <c r="M17" s="859"/>
      <c r="N17" s="859"/>
      <c r="O17" s="859"/>
      <c r="P17" s="859"/>
      <c r="Q17" s="859"/>
      <c r="R17" s="859"/>
    </row>
    <row r="18" spans="1:18" ht="14.25">
      <c r="A18" s="1529"/>
      <c r="B18" s="1549" t="s">
        <v>550</v>
      </c>
      <c r="C18" s="1550"/>
      <c r="D18" s="873"/>
      <c r="E18" s="1239"/>
      <c r="F18" s="1239"/>
      <c r="G18" s="874">
        <v>0</v>
      </c>
      <c r="H18" s="864"/>
      <c r="I18" s="868">
        <v>1.5</v>
      </c>
      <c r="J18" s="857"/>
      <c r="K18" s="868">
        <v>0</v>
      </c>
      <c r="L18" s="859"/>
      <c r="M18" s="859"/>
      <c r="N18" s="859"/>
      <c r="O18" s="859"/>
      <c r="P18" s="859"/>
      <c r="Q18" s="859"/>
      <c r="R18" s="859"/>
    </row>
    <row r="19" spans="1:18" ht="15" thickBot="1">
      <c r="A19" s="1546"/>
      <c r="B19" s="1533" t="s">
        <v>201</v>
      </c>
      <c r="C19" s="1534"/>
      <c r="D19" s="871"/>
      <c r="E19" s="1240">
        <v>0.2</v>
      </c>
      <c r="F19" s="875">
        <v>2.5</v>
      </c>
      <c r="G19" s="876">
        <v>2.7</v>
      </c>
      <c r="H19" s="864"/>
      <c r="I19" s="877">
        <v>0.4</v>
      </c>
      <c r="J19" s="857"/>
      <c r="K19" s="877"/>
      <c r="L19" s="859"/>
      <c r="M19" s="859"/>
      <c r="N19" s="859"/>
      <c r="O19" s="859"/>
      <c r="P19" s="859"/>
      <c r="Q19" s="859"/>
      <c r="R19" s="859"/>
    </row>
    <row r="20" spans="1:18" ht="14.25">
      <c r="A20" s="1527" t="s">
        <v>756</v>
      </c>
      <c r="B20" s="1531" t="s">
        <v>644</v>
      </c>
      <c r="C20" s="1532"/>
      <c r="D20" s="871"/>
      <c r="E20" s="1239">
        <v>0.1</v>
      </c>
      <c r="F20" s="1239"/>
      <c r="G20" s="878">
        <v>0.1</v>
      </c>
      <c r="H20" s="864"/>
      <c r="I20" s="865">
        <v>0.1</v>
      </c>
      <c r="J20" s="857"/>
      <c r="K20" s="865"/>
      <c r="L20" s="859"/>
      <c r="M20" s="859"/>
      <c r="N20" s="859"/>
      <c r="O20" s="859"/>
      <c r="P20" s="859"/>
      <c r="Q20" s="859"/>
      <c r="R20" s="859"/>
    </row>
    <row r="21" spans="1:18" ht="14.25">
      <c r="A21" s="1528"/>
      <c r="B21" s="866" t="s">
        <v>202</v>
      </c>
      <c r="C21" s="879"/>
      <c r="D21" s="880"/>
      <c r="E21" s="1239"/>
      <c r="F21" s="1239"/>
      <c r="G21" s="869">
        <v>0</v>
      </c>
      <c r="H21" s="864"/>
      <c r="I21" s="872"/>
      <c r="J21" s="857"/>
      <c r="K21" s="872"/>
      <c r="L21" s="859"/>
      <c r="M21" s="859"/>
      <c r="N21" s="859"/>
      <c r="O21" s="859"/>
      <c r="P21" s="859"/>
      <c r="Q21" s="859"/>
      <c r="R21" s="859"/>
    </row>
    <row r="22" spans="1:18" ht="14.25">
      <c r="A22" s="1529"/>
      <c r="B22" s="866" t="s">
        <v>337</v>
      </c>
      <c r="C22" s="879"/>
      <c r="D22" s="880"/>
      <c r="E22" s="1239"/>
      <c r="F22" s="1239"/>
      <c r="G22" s="874">
        <v>0</v>
      </c>
      <c r="H22" s="864"/>
      <c r="I22" s="868">
        <v>0.3</v>
      </c>
      <c r="J22" s="857"/>
      <c r="K22" s="868"/>
      <c r="L22" s="859"/>
      <c r="M22" s="859"/>
      <c r="N22" s="859"/>
      <c r="O22" s="859"/>
      <c r="P22" s="859"/>
      <c r="Q22" s="859"/>
      <c r="R22" s="859"/>
    </row>
    <row r="23" spans="1:18" ht="15" thickBot="1">
      <c r="A23" s="1530"/>
      <c r="B23" s="1533" t="s">
        <v>201</v>
      </c>
      <c r="C23" s="1534"/>
      <c r="D23" s="880"/>
      <c r="E23" s="1240">
        <v>0.1</v>
      </c>
      <c r="F23" s="875">
        <v>0.6</v>
      </c>
      <c r="G23" s="881">
        <v>0.7</v>
      </c>
      <c r="H23" s="864"/>
      <c r="I23" s="870">
        <v>0.1</v>
      </c>
      <c r="J23" s="857"/>
      <c r="K23" s="870"/>
      <c r="L23" s="859"/>
      <c r="M23" s="859"/>
      <c r="N23" s="859"/>
      <c r="O23" s="859"/>
      <c r="P23" s="859"/>
      <c r="Q23" s="859"/>
      <c r="R23" s="859"/>
    </row>
    <row r="24" spans="1:18" ht="14.25">
      <c r="A24" s="1535" t="s">
        <v>754</v>
      </c>
      <c r="B24" s="1537" t="s">
        <v>644</v>
      </c>
      <c r="C24" s="1538"/>
      <c r="D24" s="882"/>
      <c r="E24" s="1239">
        <v>0.1</v>
      </c>
      <c r="F24" s="1239">
        <v>0.8</v>
      </c>
      <c r="G24" s="869">
        <v>0.9</v>
      </c>
      <c r="H24" s="864"/>
      <c r="I24" s="872"/>
      <c r="J24" s="857"/>
      <c r="K24" s="872"/>
      <c r="L24" s="859"/>
      <c r="M24" s="1241"/>
      <c r="N24" s="1241"/>
      <c r="O24" s="878">
        <v>0</v>
      </c>
      <c r="P24" s="859"/>
      <c r="Q24" s="865"/>
      <c r="R24" s="859"/>
    </row>
    <row r="25" spans="1:18" ht="14.25">
      <c r="A25" s="1536"/>
      <c r="B25" s="866" t="s">
        <v>202</v>
      </c>
      <c r="C25" s="867"/>
      <c r="D25" s="880"/>
      <c r="E25" s="1239"/>
      <c r="F25" s="1239"/>
      <c r="G25" s="874">
        <v>0</v>
      </c>
      <c r="H25" s="864"/>
      <c r="I25" s="868">
        <v>0.4</v>
      </c>
      <c r="J25" s="857"/>
      <c r="K25" s="868"/>
      <c r="L25" s="859"/>
      <c r="M25" s="1242"/>
      <c r="N25" s="1242"/>
      <c r="O25" s="874">
        <v>0</v>
      </c>
      <c r="P25" s="859"/>
      <c r="Q25" s="868"/>
      <c r="R25" s="859"/>
    </row>
    <row r="26" spans="1:18" ht="14.25">
      <c r="A26" s="1536"/>
      <c r="B26" s="866" t="s">
        <v>337</v>
      </c>
      <c r="C26" s="867"/>
      <c r="D26" s="880"/>
      <c r="E26" s="1239"/>
      <c r="F26" s="1239"/>
      <c r="G26" s="874">
        <v>0</v>
      </c>
      <c r="H26" s="864"/>
      <c r="I26" s="868"/>
      <c r="J26" s="857"/>
      <c r="K26" s="868"/>
      <c r="L26" s="859"/>
      <c r="M26" s="1242"/>
      <c r="N26" s="1242"/>
      <c r="O26" s="874">
        <v>0</v>
      </c>
      <c r="P26" s="859"/>
      <c r="Q26" s="868"/>
      <c r="R26" s="859"/>
    </row>
    <row r="27" spans="1:18" ht="15" thickBot="1">
      <c r="A27" s="1536"/>
      <c r="B27" s="1533" t="s">
        <v>201</v>
      </c>
      <c r="C27" s="1534"/>
      <c r="D27" s="880"/>
      <c r="E27" s="1239"/>
      <c r="F27" s="1239">
        <v>0.4</v>
      </c>
      <c r="G27" s="876">
        <v>0.4</v>
      </c>
      <c r="H27" s="864"/>
      <c r="I27" s="877">
        <v>0.1</v>
      </c>
      <c r="J27" s="857"/>
      <c r="K27" s="877"/>
      <c r="L27" s="859"/>
      <c r="M27" s="1240"/>
      <c r="N27" s="1240"/>
      <c r="O27" s="881">
        <v>0</v>
      </c>
      <c r="P27" s="859"/>
      <c r="Q27" s="870"/>
      <c r="R27" s="859"/>
    </row>
    <row r="28" spans="1:18" ht="15" thickBot="1">
      <c r="A28" s="1517" t="s">
        <v>338</v>
      </c>
      <c r="B28" s="1526"/>
      <c r="C28" s="883"/>
      <c r="D28" s="880"/>
      <c r="E28" s="1239"/>
      <c r="F28" s="1239"/>
      <c r="G28" s="884">
        <v>0</v>
      </c>
      <c r="H28" s="864"/>
      <c r="I28" s="885"/>
      <c r="J28" s="857"/>
      <c r="K28" s="885"/>
      <c r="L28" s="859"/>
      <c r="M28" s="886"/>
      <c r="N28" s="886"/>
      <c r="O28" s="884">
        <v>0</v>
      </c>
      <c r="P28" s="859"/>
      <c r="Q28" s="885"/>
      <c r="R28" s="859"/>
    </row>
    <row r="29" spans="1:18" ht="15.75" thickBot="1">
      <c r="A29" s="1517" t="s">
        <v>466</v>
      </c>
      <c r="B29" s="1518"/>
      <c r="C29" s="1519"/>
      <c r="D29" s="887"/>
      <c r="E29" s="888"/>
      <c r="F29" s="889"/>
      <c r="G29" s="890"/>
      <c r="H29" s="891"/>
      <c r="I29" s="892">
        <v>2</v>
      </c>
      <c r="J29" s="857"/>
      <c r="K29" s="892"/>
      <c r="L29" s="893"/>
      <c r="M29" s="1243"/>
      <c r="N29" s="1244"/>
      <c r="O29" s="890"/>
      <c r="P29" s="893"/>
      <c r="Q29" s="894"/>
      <c r="R29" s="893"/>
    </row>
    <row r="30" spans="1:18" ht="15.75" thickBot="1">
      <c r="A30" s="1517" t="s">
        <v>603</v>
      </c>
      <c r="B30" s="1518"/>
      <c r="C30" s="1519"/>
      <c r="D30" s="887"/>
      <c r="E30" s="888"/>
      <c r="F30" s="1239">
        <v>0.4</v>
      </c>
      <c r="G30" s="876">
        <v>0.4</v>
      </c>
      <c r="H30" s="891"/>
      <c r="I30" s="895"/>
      <c r="J30" s="857"/>
      <c r="K30" s="896"/>
      <c r="L30" s="893"/>
      <c r="M30" s="888"/>
      <c r="N30" s="889"/>
      <c r="O30" s="890"/>
      <c r="P30" s="893"/>
      <c r="Q30" s="897"/>
      <c r="R30" s="893"/>
    </row>
    <row r="31" spans="1:18" ht="15.75" thickBot="1">
      <c r="A31" s="1517" t="s">
        <v>736</v>
      </c>
      <c r="B31" s="1518"/>
      <c r="C31" s="1519"/>
      <c r="D31" s="887"/>
      <c r="E31" s="888"/>
      <c r="F31" s="1239">
        <v>0.8</v>
      </c>
      <c r="G31" s="884">
        <v>0.8</v>
      </c>
      <c r="H31" s="891"/>
      <c r="I31" s="895"/>
      <c r="J31" s="857"/>
      <c r="K31" s="896"/>
      <c r="L31" s="893"/>
      <c r="M31" s="888"/>
      <c r="N31" s="889"/>
      <c r="O31" s="890"/>
      <c r="P31" s="893"/>
      <c r="Q31" s="897"/>
      <c r="R31" s="893"/>
    </row>
    <row r="32" spans="1:18" ht="15.75" thickBot="1">
      <c r="A32" s="1517" t="s">
        <v>737</v>
      </c>
      <c r="B32" s="1518"/>
      <c r="C32" s="1519"/>
      <c r="D32" s="887"/>
      <c r="E32" s="888"/>
      <c r="F32" s="889"/>
      <c r="G32" s="890"/>
      <c r="H32" s="891"/>
      <c r="I32" s="892">
        <v>-0.9</v>
      </c>
      <c r="J32" s="857"/>
      <c r="K32" s="896"/>
      <c r="L32" s="893"/>
      <c r="M32" s="888"/>
      <c r="N32" s="889"/>
      <c r="O32" s="890"/>
      <c r="P32" s="893"/>
      <c r="Q32" s="897"/>
      <c r="R32" s="893"/>
    </row>
    <row r="33" spans="1:18" ht="15.75" thickBot="1">
      <c r="A33" s="1517" t="s">
        <v>738</v>
      </c>
      <c r="B33" s="1518"/>
      <c r="C33" s="1519"/>
      <c r="D33" s="887"/>
      <c r="E33" s="888"/>
      <c r="F33" s="1239">
        <v>0.1</v>
      </c>
      <c r="G33" s="884">
        <v>0.1</v>
      </c>
      <c r="H33" s="891"/>
      <c r="I33" s="896"/>
      <c r="J33" s="857"/>
      <c r="K33" s="896"/>
      <c r="L33" s="893"/>
      <c r="M33" s="888"/>
      <c r="N33" s="889"/>
      <c r="O33" s="890"/>
      <c r="P33" s="893"/>
      <c r="Q33" s="897"/>
      <c r="R33" s="893"/>
    </row>
    <row r="34" spans="1:18" ht="15.75" thickBot="1">
      <c r="A34" s="898" t="s">
        <v>757</v>
      </c>
      <c r="B34" s="899"/>
      <c r="C34" s="900"/>
      <c r="D34" s="901"/>
      <c r="E34" s="902">
        <v>1.4</v>
      </c>
      <c r="F34" s="902">
        <v>6.7</v>
      </c>
      <c r="G34" s="902">
        <v>8.1</v>
      </c>
      <c r="H34" s="903"/>
      <c r="I34" s="902">
        <v>13.5</v>
      </c>
      <c r="J34" s="901"/>
      <c r="K34" s="902">
        <v>0.8</v>
      </c>
      <c r="L34" s="904"/>
      <c r="M34" s="902">
        <v>0</v>
      </c>
      <c r="N34" s="902">
        <v>0</v>
      </c>
      <c r="O34" s="902">
        <v>0</v>
      </c>
      <c r="P34" s="904"/>
      <c r="Q34" s="902"/>
      <c r="R34" s="904"/>
    </row>
    <row r="35" spans="1:18" ht="15" thickBot="1">
      <c r="A35" s="859"/>
      <c r="B35" s="859"/>
      <c r="C35" s="859"/>
      <c r="D35" s="905"/>
      <c r="E35" s="859"/>
      <c r="F35" s="859"/>
      <c r="G35" s="906"/>
      <c r="H35" s="859"/>
      <c r="I35" s="906"/>
      <c r="J35" s="844"/>
      <c r="K35" s="906"/>
      <c r="L35" s="859"/>
      <c r="M35" s="859"/>
      <c r="N35" s="859"/>
      <c r="O35" s="859"/>
      <c r="P35" s="859"/>
      <c r="Q35" s="859"/>
      <c r="R35" s="859"/>
    </row>
    <row r="36" spans="1:18" ht="30.75" thickBot="1">
      <c r="A36" s="907"/>
      <c r="B36" s="907"/>
      <c r="C36" s="908"/>
      <c r="D36" s="909"/>
      <c r="E36" s="1245" t="s">
        <v>474</v>
      </c>
      <c r="F36" s="1246"/>
      <c r="G36" s="1246"/>
      <c r="H36" s="1246"/>
      <c r="I36" s="862" t="s">
        <v>585</v>
      </c>
      <c r="J36" s="901"/>
      <c r="K36" s="858" t="s">
        <v>586</v>
      </c>
      <c r="L36" s="910"/>
      <c r="M36" s="904"/>
      <c r="N36" s="904"/>
      <c r="O36" s="904"/>
      <c r="P36" s="904"/>
      <c r="Q36" s="904"/>
      <c r="R36" s="904"/>
    </row>
    <row r="37" spans="1:18" ht="15.75" thickBot="1">
      <c r="A37" s="904"/>
      <c r="B37" s="910"/>
      <c r="C37" s="910"/>
      <c r="D37" s="910"/>
      <c r="E37" s="1247"/>
      <c r="F37" s="1246"/>
      <c r="G37" s="1246"/>
      <c r="H37" s="1248"/>
      <c r="I37" s="861" t="s">
        <v>597</v>
      </c>
      <c r="J37" s="901"/>
      <c r="K37" s="862" t="s">
        <v>597</v>
      </c>
      <c r="L37" s="904"/>
      <c r="M37" s="904"/>
      <c r="N37" s="904"/>
      <c r="O37" s="904"/>
      <c r="P37" s="904"/>
      <c r="Q37" s="904"/>
      <c r="R37" s="904"/>
    </row>
    <row r="38" spans="1:18" ht="14.25">
      <c r="A38" s="859"/>
      <c r="B38" s="905"/>
      <c r="C38" s="905"/>
      <c r="D38" s="905"/>
      <c r="E38" s="911" t="s">
        <v>475</v>
      </c>
      <c r="F38" s="912"/>
      <c r="G38" s="912"/>
      <c r="H38" s="913"/>
      <c r="I38" s="914">
        <v>4.2</v>
      </c>
      <c r="J38" s="857"/>
      <c r="K38" s="872">
        <v>0.3</v>
      </c>
      <c r="L38" s="859"/>
      <c r="M38" s="859"/>
      <c r="N38" s="859"/>
      <c r="O38" s="859"/>
      <c r="P38" s="859"/>
      <c r="Q38" s="859"/>
      <c r="R38" s="859"/>
    </row>
    <row r="39" spans="1:18" ht="15" thickBot="1">
      <c r="A39" s="859"/>
      <c r="B39" s="905"/>
      <c r="C39" s="905"/>
      <c r="D39" s="905"/>
      <c r="E39" s="915" t="s">
        <v>476</v>
      </c>
      <c r="F39" s="916"/>
      <c r="G39" s="916"/>
      <c r="H39" s="917"/>
      <c r="I39" s="918">
        <v>9.3</v>
      </c>
      <c r="J39" s="857"/>
      <c r="K39" s="872">
        <v>0.5</v>
      </c>
      <c r="L39" s="859"/>
      <c r="M39" s="859"/>
      <c r="N39" s="859"/>
      <c r="O39" s="859"/>
      <c r="P39" s="859"/>
      <c r="Q39" s="859"/>
      <c r="R39" s="859"/>
    </row>
    <row r="40" spans="1:18" ht="16.5" thickBot="1">
      <c r="A40" s="859"/>
      <c r="B40" s="901"/>
      <c r="C40" s="901"/>
      <c r="D40" s="901"/>
      <c r="E40" s="919" t="s">
        <v>477</v>
      </c>
      <c r="F40" s="920"/>
      <c r="G40" s="920"/>
      <c r="H40" s="1249"/>
      <c r="I40" s="884">
        <v>13.5</v>
      </c>
      <c r="J40" s="857"/>
      <c r="K40" s="884">
        <v>0.8</v>
      </c>
      <c r="L40" s="859"/>
      <c r="M40" s="859"/>
      <c r="N40" s="859"/>
      <c r="O40" s="859"/>
      <c r="P40" s="859"/>
      <c r="Q40" s="859"/>
      <c r="R40" s="859"/>
    </row>
    <row r="41" spans="1:18" ht="15" thickBot="1">
      <c r="A41" s="859"/>
      <c r="B41" s="859"/>
      <c r="C41" s="859"/>
      <c r="D41" s="905"/>
      <c r="E41" s="859"/>
      <c r="F41" s="859"/>
      <c r="G41" s="859"/>
      <c r="H41" s="859"/>
      <c r="I41" s="906"/>
      <c r="J41" s="829"/>
      <c r="K41" s="906"/>
      <c r="L41" s="859"/>
      <c r="M41" s="859"/>
      <c r="N41" s="859"/>
      <c r="O41" s="859"/>
      <c r="P41" s="859"/>
      <c r="Q41" s="859"/>
      <c r="R41" s="859"/>
    </row>
    <row r="42" spans="1:18" ht="20.25">
      <c r="A42" s="844"/>
      <c r="B42" s="856"/>
      <c r="C42" s="1520" t="s">
        <v>684</v>
      </c>
      <c r="D42" s="921"/>
      <c r="E42" s="921"/>
      <c r="F42" s="922"/>
      <c r="G42" s="923"/>
      <c r="H42" s="857"/>
      <c r="I42" s="844"/>
      <c r="J42" s="844"/>
      <c r="K42" s="844"/>
      <c r="L42" s="844"/>
      <c r="M42" s="1522" t="s">
        <v>684</v>
      </c>
      <c r="N42" s="1523"/>
      <c r="O42" s="924"/>
      <c r="P42" s="844"/>
      <c r="Q42" s="844"/>
      <c r="R42" s="844"/>
    </row>
    <row r="43" spans="1:18" ht="21" thickBot="1">
      <c r="A43" s="844"/>
      <c r="B43" s="856"/>
      <c r="C43" s="1521"/>
      <c r="D43" s="925"/>
      <c r="E43" s="925"/>
      <c r="F43" s="926"/>
      <c r="G43" s="927" t="s">
        <v>597</v>
      </c>
      <c r="H43" s="857"/>
      <c r="I43" s="844"/>
      <c r="J43" s="844"/>
      <c r="K43" s="844"/>
      <c r="L43" s="844"/>
      <c r="M43" s="1524"/>
      <c r="N43" s="1525"/>
      <c r="O43" s="861" t="s">
        <v>597</v>
      </c>
      <c r="P43" s="844"/>
      <c r="Q43" s="844"/>
      <c r="R43" s="844"/>
    </row>
    <row r="44" spans="1:18" ht="15" thickBot="1">
      <c r="A44" s="844"/>
      <c r="B44" s="928"/>
      <c r="C44" s="929" t="s">
        <v>751</v>
      </c>
      <c r="D44" s="930"/>
      <c r="E44" s="930"/>
      <c r="F44" s="931"/>
      <c r="G44" s="914">
        <v>2.7959164081484307</v>
      </c>
      <c r="H44" s="857"/>
      <c r="I44" s="844"/>
      <c r="J44" s="844"/>
      <c r="K44" s="844"/>
      <c r="L44" s="844"/>
      <c r="M44" s="932" t="s">
        <v>754</v>
      </c>
      <c r="N44" s="933"/>
      <c r="O44" s="886">
        <v>0.2</v>
      </c>
      <c r="P44" s="844"/>
      <c r="Q44" s="844"/>
      <c r="R44" s="844"/>
    </row>
    <row r="45" spans="1:18" ht="14.25">
      <c r="A45" s="844"/>
      <c r="B45" s="928"/>
      <c r="C45" s="934" t="s">
        <v>750</v>
      </c>
      <c r="D45" s="935"/>
      <c r="E45" s="935"/>
      <c r="F45" s="936"/>
      <c r="G45" s="914">
        <v>2.119896112868507</v>
      </c>
      <c r="H45" s="857"/>
      <c r="I45" s="844"/>
      <c r="J45" s="844"/>
      <c r="K45" s="844"/>
      <c r="L45" s="844"/>
      <c r="M45" s="844"/>
      <c r="N45" s="844"/>
      <c r="O45" s="844"/>
      <c r="P45" s="844"/>
      <c r="Q45" s="844"/>
      <c r="R45" s="844"/>
    </row>
    <row r="46" spans="1:18" ht="14.25">
      <c r="A46" s="844"/>
      <c r="B46" s="928"/>
      <c r="C46" s="934" t="s">
        <v>756</v>
      </c>
      <c r="D46" s="935"/>
      <c r="E46" s="935"/>
      <c r="F46" s="936"/>
      <c r="G46" s="914">
        <v>0.22982393575120072</v>
      </c>
      <c r="H46" s="857"/>
      <c r="I46" s="844"/>
      <c r="J46" s="844"/>
      <c r="K46" s="844"/>
      <c r="L46" s="844"/>
      <c r="M46" s="844"/>
      <c r="N46" s="844"/>
      <c r="O46" s="844"/>
      <c r="P46" s="844"/>
      <c r="Q46" s="844"/>
      <c r="R46" s="844"/>
    </row>
    <row r="47" spans="1:18" ht="15" thickBot="1">
      <c r="A47" s="844"/>
      <c r="B47" s="928"/>
      <c r="C47" s="937" t="s">
        <v>754</v>
      </c>
      <c r="D47" s="938"/>
      <c r="E47" s="938"/>
      <c r="F47" s="939"/>
      <c r="G47" s="914">
        <v>0.16350619772823258</v>
      </c>
      <c r="H47" s="857"/>
      <c r="I47" s="844"/>
      <c r="J47" s="844"/>
      <c r="K47" s="844"/>
      <c r="L47" s="844"/>
      <c r="M47" s="844"/>
      <c r="N47" s="844"/>
      <c r="O47" s="844"/>
      <c r="P47" s="844"/>
      <c r="Q47" s="844"/>
      <c r="R47" s="844"/>
    </row>
    <row r="48" spans="1:18" ht="15.75" thickBot="1">
      <c r="A48" s="844"/>
      <c r="B48" s="940"/>
      <c r="C48" s="941" t="s">
        <v>614</v>
      </c>
      <c r="D48" s="942"/>
      <c r="E48" s="942"/>
      <c r="F48" s="1250"/>
      <c r="G48" s="1251">
        <v>5.309142654496371</v>
      </c>
      <c r="H48" s="857"/>
      <c r="I48" s="844"/>
      <c r="J48" s="844"/>
      <c r="K48" s="844"/>
      <c r="L48" s="844"/>
      <c r="M48" s="844"/>
      <c r="N48" s="844"/>
      <c r="O48" s="844"/>
      <c r="P48" s="844"/>
      <c r="Q48" s="844"/>
      <c r="R48" s="844"/>
    </row>
    <row r="49" spans="1:18" ht="15">
      <c r="A49" s="943"/>
      <c r="B49" s="943"/>
      <c r="C49" s="943"/>
      <c r="D49" s="943"/>
      <c r="E49" s="943"/>
      <c r="F49" s="943"/>
      <c r="G49" s="906"/>
      <c r="H49" s="944"/>
      <c r="I49" s="945"/>
      <c r="J49" s="945"/>
      <c r="K49" s="945"/>
      <c r="L49" s="946"/>
      <c r="M49" s="859"/>
      <c r="N49" s="859"/>
      <c r="O49" s="859"/>
      <c r="P49" s="859"/>
      <c r="Q49" s="859"/>
      <c r="R49" s="859"/>
    </row>
  </sheetData>
  <sheetProtection/>
  <mergeCells count="38">
    <mergeCell ref="A9:C10"/>
    <mergeCell ref="A11:A12"/>
    <mergeCell ref="B11:C11"/>
    <mergeCell ref="E11:E12"/>
    <mergeCell ref="M6:Q6"/>
    <mergeCell ref="E7:G7"/>
    <mergeCell ref="I7:K7"/>
    <mergeCell ref="M7:O8"/>
    <mergeCell ref="Q7:Q8"/>
    <mergeCell ref="G11:G12"/>
    <mergeCell ref="B12:C12"/>
    <mergeCell ref="A13:A16"/>
    <mergeCell ref="B13:C13"/>
    <mergeCell ref="B14:C14"/>
    <mergeCell ref="E14:E16"/>
    <mergeCell ref="F14:F16"/>
    <mergeCell ref="F11:F12"/>
    <mergeCell ref="G14:G16"/>
    <mergeCell ref="B15:C15"/>
    <mergeCell ref="B16:C16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32:C32"/>
    <mergeCell ref="A33:C33"/>
    <mergeCell ref="C42:C43"/>
    <mergeCell ref="M42:N43"/>
    <mergeCell ref="A28:B28"/>
    <mergeCell ref="A29:C29"/>
    <mergeCell ref="A30:C30"/>
    <mergeCell ref="A31:C31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55">
      <selection activeCell="E11" sqref="E11:L89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5" t="s">
        <v>595</v>
      </c>
      <c r="E1" s="389" t="s">
        <v>776</v>
      </c>
    </row>
    <row r="2" ht="12.75">
      <c r="A2" s="385"/>
    </row>
    <row r="3" ht="12.75">
      <c r="A3" s="385" t="s">
        <v>739</v>
      </c>
    </row>
    <row r="5" spans="1:14" ht="20.25">
      <c r="A5" s="852" t="s">
        <v>694</v>
      </c>
      <c r="B5" s="853"/>
      <c r="C5" s="853"/>
      <c r="D5" s="854"/>
      <c r="E5" s="853"/>
      <c r="F5" s="853"/>
      <c r="G5" s="853"/>
      <c r="H5" s="853"/>
      <c r="I5" s="853"/>
      <c r="J5" s="853"/>
      <c r="K5" s="853"/>
      <c r="L5" s="853"/>
      <c r="M5" s="978"/>
      <c r="N5" s="978"/>
    </row>
    <row r="6" spans="1:14" ht="21" thickBot="1">
      <c r="A6" s="852"/>
      <c r="B6" s="853"/>
      <c r="C6" s="853"/>
      <c r="D6" s="854"/>
      <c r="E6" s="853"/>
      <c r="F6" s="853"/>
      <c r="G6" s="853"/>
      <c r="H6" s="853"/>
      <c r="I6" s="853"/>
      <c r="J6" s="853"/>
      <c r="K6" s="853"/>
      <c r="L6" s="853"/>
      <c r="M6" s="978"/>
      <c r="N6" s="978"/>
    </row>
    <row r="7" spans="1:14" ht="18.75" thickBot="1">
      <c r="A7" s="859"/>
      <c r="B7" s="859"/>
      <c r="C7" s="979" t="s">
        <v>517</v>
      </c>
      <c r="D7" s="980"/>
      <c r="E7" s="980"/>
      <c r="F7" s="980"/>
      <c r="G7" s="980"/>
      <c r="H7" s="980"/>
      <c r="I7" s="980"/>
      <c r="J7" s="980"/>
      <c r="K7" s="980"/>
      <c r="L7" s="981"/>
      <c r="M7" s="859"/>
      <c r="N7" s="859"/>
    </row>
    <row r="8" spans="1:14" ht="98.25" thickBot="1">
      <c r="A8" s="859"/>
      <c r="B8" s="859"/>
      <c r="C8" s="982" t="s">
        <v>518</v>
      </c>
      <c r="D8" s="983"/>
      <c r="E8" s="984" t="s">
        <v>519</v>
      </c>
      <c r="F8" s="985" t="s">
        <v>652</v>
      </c>
      <c r="G8" s="985" t="s">
        <v>653</v>
      </c>
      <c r="H8" s="986" t="s">
        <v>599</v>
      </c>
      <c r="I8" s="985" t="s">
        <v>600</v>
      </c>
      <c r="J8" s="987" t="s">
        <v>594</v>
      </c>
      <c r="K8" s="988" t="s">
        <v>520</v>
      </c>
      <c r="L8" s="989" t="s">
        <v>757</v>
      </c>
      <c r="M8" s="859"/>
      <c r="N8" s="859"/>
    </row>
    <row r="9" spans="1:14" ht="15.75" thickBot="1">
      <c r="A9" s="859"/>
      <c r="B9" s="859"/>
      <c r="C9" s="990"/>
      <c r="D9" s="991"/>
      <c r="E9" s="992" t="s">
        <v>597</v>
      </c>
      <c r="F9" s="993" t="s">
        <v>597</v>
      </c>
      <c r="G9" s="993" t="s">
        <v>597</v>
      </c>
      <c r="H9" s="992" t="s">
        <v>597</v>
      </c>
      <c r="I9" s="993" t="s">
        <v>597</v>
      </c>
      <c r="J9" s="993" t="s">
        <v>597</v>
      </c>
      <c r="K9" s="994" t="s">
        <v>597</v>
      </c>
      <c r="L9" s="995" t="s">
        <v>597</v>
      </c>
      <c r="M9" s="859"/>
      <c r="N9" s="859"/>
    </row>
    <row r="10" spans="1:14" ht="15">
      <c r="A10" s="859"/>
      <c r="B10" s="859"/>
      <c r="C10" s="996" t="s">
        <v>402</v>
      </c>
      <c r="D10" s="983"/>
      <c r="E10" s="997"/>
      <c r="F10" s="998"/>
      <c r="G10" s="998"/>
      <c r="H10" s="997"/>
      <c r="I10" s="998"/>
      <c r="J10" s="999"/>
      <c r="K10" s="999"/>
      <c r="L10" s="1000"/>
      <c r="M10" s="859"/>
      <c r="N10" s="859"/>
    </row>
    <row r="11" spans="1:14" ht="14.25">
      <c r="A11" s="859"/>
      <c r="B11" s="859"/>
      <c r="C11" s="1597" t="s">
        <v>403</v>
      </c>
      <c r="D11" s="1598"/>
      <c r="E11" s="1252">
        <v>19.1</v>
      </c>
      <c r="F11" s="1252">
        <v>0</v>
      </c>
      <c r="G11" s="1252">
        <v>0.3</v>
      </c>
      <c r="H11" s="1252">
        <v>0.5</v>
      </c>
      <c r="I11" s="1253"/>
      <c r="J11" s="1254"/>
      <c r="K11" s="1255"/>
      <c r="L11" s="1001">
        <v>19.9</v>
      </c>
      <c r="M11" s="859"/>
      <c r="N11" s="859"/>
    </row>
    <row r="12" spans="1:14" ht="14.25">
      <c r="A12" s="859"/>
      <c r="B12" s="859"/>
      <c r="C12" s="1597" t="s">
        <v>404</v>
      </c>
      <c r="D12" s="1598"/>
      <c r="E12" s="1252">
        <v>1.1</v>
      </c>
      <c r="F12" s="1252">
        <v>0</v>
      </c>
      <c r="G12" s="1252">
        <v>0.5</v>
      </c>
      <c r="H12" s="1252">
        <v>2</v>
      </c>
      <c r="I12" s="1253"/>
      <c r="J12" s="1254"/>
      <c r="K12" s="1255"/>
      <c r="L12" s="1001">
        <v>3.6</v>
      </c>
      <c r="M12" s="859"/>
      <c r="N12" s="859"/>
    </row>
    <row r="13" spans="1:14" ht="14.25">
      <c r="A13" s="859"/>
      <c r="B13" s="859"/>
      <c r="C13" s="1597" t="s">
        <v>401</v>
      </c>
      <c r="D13" s="1598"/>
      <c r="E13" s="1252">
        <v>0</v>
      </c>
      <c r="F13" s="1252">
        <v>0</v>
      </c>
      <c r="G13" s="1252">
        <v>0</v>
      </c>
      <c r="H13" s="1252">
        <v>0</v>
      </c>
      <c r="I13" s="1253"/>
      <c r="J13" s="1254"/>
      <c r="K13" s="1255"/>
      <c r="L13" s="1001">
        <v>0</v>
      </c>
      <c r="M13" s="859"/>
      <c r="N13" s="859"/>
    </row>
    <row r="14" spans="1:14" ht="14.25">
      <c r="A14" s="859"/>
      <c r="B14" s="859"/>
      <c r="C14" s="1597" t="s">
        <v>530</v>
      </c>
      <c r="D14" s="1598"/>
      <c r="E14" s="1252">
        <v>0</v>
      </c>
      <c r="F14" s="1252">
        <v>0</v>
      </c>
      <c r="G14" s="1252">
        <v>0</v>
      </c>
      <c r="H14" s="1252">
        <v>0</v>
      </c>
      <c r="I14" s="1253"/>
      <c r="J14" s="1254"/>
      <c r="K14" s="1255"/>
      <c r="L14" s="1001">
        <v>0</v>
      </c>
      <c r="M14" s="859"/>
      <c r="N14" s="859"/>
    </row>
    <row r="15" spans="1:14" ht="15">
      <c r="A15" s="859"/>
      <c r="B15" s="859"/>
      <c r="C15" s="1002" t="s">
        <v>531</v>
      </c>
      <c r="D15" s="1003"/>
      <c r="E15" s="1256"/>
      <c r="F15" s="1257"/>
      <c r="G15" s="1257"/>
      <c r="H15" s="1256"/>
      <c r="I15" s="1253"/>
      <c r="J15" s="1254"/>
      <c r="K15" s="1255"/>
      <c r="L15" s="1004">
        <v>0</v>
      </c>
      <c r="M15" s="859"/>
      <c r="N15" s="859"/>
    </row>
    <row r="16" spans="1:14" ht="14.25">
      <c r="A16" s="859"/>
      <c r="B16" s="859"/>
      <c r="C16" s="1005" t="s">
        <v>532</v>
      </c>
      <c r="D16" s="1006"/>
      <c r="E16" s="1258"/>
      <c r="F16" s="1253"/>
      <c r="G16" s="1253"/>
      <c r="H16" s="1253"/>
      <c r="I16" s="1252">
        <v>0.3</v>
      </c>
      <c r="J16" s="1252">
        <v>0</v>
      </c>
      <c r="K16" s="1255"/>
      <c r="L16" s="1001">
        <v>0.3</v>
      </c>
      <c r="M16" s="859"/>
      <c r="N16" s="859"/>
    </row>
    <row r="17" spans="1:14" ht="14.25">
      <c r="A17" s="859"/>
      <c r="B17" s="859"/>
      <c r="C17" s="1005" t="s">
        <v>399</v>
      </c>
      <c r="D17" s="1006"/>
      <c r="E17" s="1258"/>
      <c r="F17" s="1253"/>
      <c r="G17" s="1253"/>
      <c r="H17" s="1253"/>
      <c r="I17" s="1252">
        <v>0.5</v>
      </c>
      <c r="J17" s="1252">
        <v>0</v>
      </c>
      <c r="K17" s="1255"/>
      <c r="L17" s="1001">
        <v>0.5</v>
      </c>
      <c r="M17" s="859"/>
      <c r="N17" s="859"/>
    </row>
    <row r="18" spans="1:14" ht="14.25">
      <c r="A18" s="859"/>
      <c r="B18" s="859"/>
      <c r="C18" s="1005" t="s">
        <v>400</v>
      </c>
      <c r="D18" s="1006"/>
      <c r="E18" s="1258"/>
      <c r="F18" s="1253"/>
      <c r="G18" s="1253"/>
      <c r="H18" s="1253"/>
      <c r="I18" s="1252">
        <v>2.3</v>
      </c>
      <c r="J18" s="1252">
        <v>0</v>
      </c>
      <c r="K18" s="1255"/>
      <c r="L18" s="1001">
        <v>2.3</v>
      </c>
      <c r="M18" s="859"/>
      <c r="N18" s="859"/>
    </row>
    <row r="19" spans="1:14" ht="14.25">
      <c r="A19" s="859"/>
      <c r="B19" s="859"/>
      <c r="C19" s="1005" t="s">
        <v>521</v>
      </c>
      <c r="D19" s="1006"/>
      <c r="E19" s="1258"/>
      <c r="F19" s="1253"/>
      <c r="G19" s="1253"/>
      <c r="H19" s="1253"/>
      <c r="I19" s="1252">
        <v>2.6</v>
      </c>
      <c r="J19" s="1252">
        <v>0</v>
      </c>
      <c r="K19" s="1255"/>
      <c r="L19" s="1001">
        <v>2.6</v>
      </c>
      <c r="M19" s="859"/>
      <c r="N19" s="859"/>
    </row>
    <row r="20" spans="1:14" ht="15">
      <c r="A20" s="859"/>
      <c r="B20" s="859"/>
      <c r="C20" s="1002" t="s">
        <v>520</v>
      </c>
      <c r="D20" s="1007"/>
      <c r="E20" s="1259"/>
      <c r="F20" s="1260"/>
      <c r="G20" s="1260"/>
      <c r="H20" s="1260"/>
      <c r="I20" s="1260"/>
      <c r="J20" s="1255"/>
      <c r="K20" s="1252"/>
      <c r="L20" s="1001">
        <v>0</v>
      </c>
      <c r="M20" s="859"/>
      <c r="N20" s="859"/>
    </row>
    <row r="21" spans="1:14" ht="15">
      <c r="A21" s="859"/>
      <c r="B21" s="859"/>
      <c r="C21" s="1008" t="s">
        <v>522</v>
      </c>
      <c r="D21" s="1009"/>
      <c r="E21" s="1261">
        <v>20.2</v>
      </c>
      <c r="F21" s="1261">
        <v>0</v>
      </c>
      <c r="G21" s="1261">
        <v>0.8</v>
      </c>
      <c r="H21" s="1261">
        <v>2.5</v>
      </c>
      <c r="I21" s="1261">
        <v>5.7</v>
      </c>
      <c r="J21" s="1261">
        <v>0</v>
      </c>
      <c r="K21" s="1262">
        <v>0</v>
      </c>
      <c r="L21" s="1010">
        <v>29.2</v>
      </c>
      <c r="M21" s="1011"/>
      <c r="N21" s="859"/>
    </row>
    <row r="22" spans="1:14" ht="15">
      <c r="A22" s="859"/>
      <c r="B22" s="859"/>
      <c r="C22" s="1012" t="s">
        <v>391</v>
      </c>
      <c r="D22" s="1013"/>
      <c r="E22" s="1252"/>
      <c r="F22" s="1253"/>
      <c r="G22" s="1252"/>
      <c r="H22" s="1252"/>
      <c r="I22" s="1252"/>
      <c r="J22" s="1252"/>
      <c r="K22" s="1252"/>
      <c r="L22" s="1001">
        <v>0</v>
      </c>
      <c r="M22" s="1011"/>
      <c r="N22" s="859"/>
    </row>
    <row r="23" spans="1:14" ht="15">
      <c r="A23" s="859"/>
      <c r="B23" s="859"/>
      <c r="C23" s="1008" t="s">
        <v>392</v>
      </c>
      <c r="D23" s="1009"/>
      <c r="E23" s="1261">
        <v>20.2</v>
      </c>
      <c r="F23" s="1263">
        <v>0</v>
      </c>
      <c r="G23" s="1263">
        <v>0.8</v>
      </c>
      <c r="H23" s="1263">
        <v>2.5</v>
      </c>
      <c r="I23" s="1263">
        <v>5.7</v>
      </c>
      <c r="J23" s="1263">
        <v>0</v>
      </c>
      <c r="K23" s="1264">
        <v>0</v>
      </c>
      <c r="L23" s="1010">
        <v>29.2</v>
      </c>
      <c r="M23" s="1014"/>
      <c r="N23" s="859"/>
    </row>
    <row r="24" spans="1:14" ht="15.75" thickBot="1">
      <c r="A24" s="859"/>
      <c r="B24" s="859"/>
      <c r="C24" s="1015" t="s">
        <v>526</v>
      </c>
      <c r="D24" s="1016"/>
      <c r="E24" s="1252">
        <v>-26.8</v>
      </c>
      <c r="F24" s="1252"/>
      <c r="G24" s="1252">
        <v>-1</v>
      </c>
      <c r="H24" s="1265"/>
      <c r="I24" s="1266"/>
      <c r="J24" s="1266"/>
      <c r="K24" s="1252">
        <v>0</v>
      </c>
      <c r="L24" s="1017">
        <v>-27.8</v>
      </c>
      <c r="M24" s="1018"/>
      <c r="N24" s="859"/>
    </row>
    <row r="25" spans="1:14" ht="15.75" thickBot="1">
      <c r="A25" s="859"/>
      <c r="B25" s="859"/>
      <c r="C25" s="1019" t="s">
        <v>527</v>
      </c>
      <c r="D25" s="1020"/>
      <c r="E25" s="1021">
        <v>-6.6</v>
      </c>
      <c r="F25" s="1022">
        <v>0</v>
      </c>
      <c r="G25" s="1022">
        <v>-0.2</v>
      </c>
      <c r="H25" s="1022">
        <v>2.5</v>
      </c>
      <c r="I25" s="1022">
        <v>5.7</v>
      </c>
      <c r="J25" s="1022">
        <v>0</v>
      </c>
      <c r="K25" s="1023">
        <v>0</v>
      </c>
      <c r="L25" s="1024">
        <v>1.4</v>
      </c>
      <c r="M25" s="1014"/>
      <c r="N25" s="859"/>
    </row>
    <row r="26" spans="1:14" ht="15.75" thickBot="1">
      <c r="A26" s="859"/>
      <c r="B26" s="859"/>
      <c r="C26" s="1025"/>
      <c r="D26" s="1025"/>
      <c r="E26" s="1026"/>
      <c r="F26" s="1026"/>
      <c r="G26" s="945"/>
      <c r="H26" s="1027"/>
      <c r="I26" s="859"/>
      <c r="J26" s="859"/>
      <c r="K26" s="859"/>
      <c r="L26" s="859"/>
      <c r="M26" s="859"/>
      <c r="N26" s="859"/>
    </row>
    <row r="27" spans="1:14" ht="18.75" thickBot="1">
      <c r="A27" s="859"/>
      <c r="B27" s="859"/>
      <c r="C27" s="1028" t="s">
        <v>669</v>
      </c>
      <c r="D27" s="1029"/>
      <c r="E27" s="1267"/>
      <c r="F27" s="1267"/>
      <c r="G27" s="1268"/>
      <c r="H27" s="859"/>
      <c r="I27" s="859"/>
      <c r="J27" s="859"/>
      <c r="K27" s="859"/>
      <c r="L27" s="904"/>
      <c r="M27" s="859"/>
      <c r="N27" s="859"/>
    </row>
    <row r="28" spans="1:14" ht="15.75" customHeight="1" thickBot="1">
      <c r="A28" s="859"/>
      <c r="B28" s="859"/>
      <c r="C28" s="996"/>
      <c r="D28" s="1030"/>
      <c r="E28" s="1593" t="s">
        <v>487</v>
      </c>
      <c r="F28" s="1594"/>
      <c r="G28" s="1031"/>
      <c r="H28" s="859"/>
      <c r="I28" s="859"/>
      <c r="J28" s="859"/>
      <c r="K28" s="859"/>
      <c r="L28" s="904"/>
      <c r="M28" s="859"/>
      <c r="N28" s="859"/>
    </row>
    <row r="29" spans="1:14" ht="45.75" thickBot="1">
      <c r="A29" s="859"/>
      <c r="B29" s="859"/>
      <c r="C29" s="1032" t="s">
        <v>518</v>
      </c>
      <c r="D29" s="1033"/>
      <c r="E29" s="1034" t="s">
        <v>670</v>
      </c>
      <c r="F29" s="1034" t="s">
        <v>712</v>
      </c>
      <c r="G29" s="1035" t="s">
        <v>713</v>
      </c>
      <c r="H29" s="859"/>
      <c r="I29" s="859"/>
      <c r="J29" s="859"/>
      <c r="K29" s="859"/>
      <c r="L29" s="904"/>
      <c r="M29" s="859"/>
      <c r="N29" s="859"/>
    </row>
    <row r="30" spans="1:14" ht="15.75" thickBot="1">
      <c r="A30" s="859"/>
      <c r="B30" s="859"/>
      <c r="C30" s="1036"/>
      <c r="D30" s="1033"/>
      <c r="E30" s="862" t="s">
        <v>597</v>
      </c>
      <c r="F30" s="862" t="s">
        <v>597</v>
      </c>
      <c r="G30" s="862" t="s">
        <v>597</v>
      </c>
      <c r="H30" s="859"/>
      <c r="I30" s="859"/>
      <c r="J30" s="859"/>
      <c r="K30" s="859"/>
      <c r="L30" s="904"/>
      <c r="M30" s="859"/>
      <c r="N30" s="859"/>
    </row>
    <row r="31" spans="1:14" ht="15">
      <c r="A31" s="859"/>
      <c r="B31" s="859"/>
      <c r="C31" s="1595" t="s">
        <v>714</v>
      </c>
      <c r="D31" s="1037" t="s">
        <v>715</v>
      </c>
      <c r="E31" s="1038">
        <v>1.7</v>
      </c>
      <c r="F31" s="1252">
        <v>0</v>
      </c>
      <c r="G31" s="1039">
        <v>1.7</v>
      </c>
      <c r="H31" s="859"/>
      <c r="I31" s="859"/>
      <c r="J31" s="859"/>
      <c r="K31" s="859"/>
      <c r="L31" s="904"/>
      <c r="M31" s="859"/>
      <c r="N31" s="859"/>
    </row>
    <row r="32" spans="1:14" ht="15.75" thickBot="1">
      <c r="A32" s="859"/>
      <c r="B32" s="859"/>
      <c r="C32" s="1596"/>
      <c r="D32" s="1040" t="s">
        <v>672</v>
      </c>
      <c r="E32" s="1041">
        <v>1.1</v>
      </c>
      <c r="F32" s="1041">
        <v>0</v>
      </c>
      <c r="G32" s="1042">
        <v>1.1</v>
      </c>
      <c r="H32" s="859"/>
      <c r="I32" s="859"/>
      <c r="J32" s="859"/>
      <c r="K32" s="859"/>
      <c r="L32" s="904"/>
      <c r="M32" s="859"/>
      <c r="N32" s="859"/>
    </row>
    <row r="33" spans="1:14" ht="15">
      <c r="A33" s="859"/>
      <c r="B33" s="859"/>
      <c r="C33" s="1595" t="s">
        <v>673</v>
      </c>
      <c r="D33" s="1037" t="s">
        <v>715</v>
      </c>
      <c r="E33" s="1038">
        <v>0.1</v>
      </c>
      <c r="F33" s="1252">
        <v>0</v>
      </c>
      <c r="G33" s="1039">
        <v>0.1</v>
      </c>
      <c r="H33" s="859"/>
      <c r="I33" s="859"/>
      <c r="J33" s="859"/>
      <c r="K33" s="859"/>
      <c r="L33" s="904"/>
      <c r="M33" s="859"/>
      <c r="N33" s="859"/>
    </row>
    <row r="34" spans="1:14" ht="15.75" thickBot="1">
      <c r="A34" s="859"/>
      <c r="B34" s="859"/>
      <c r="C34" s="1596"/>
      <c r="D34" s="1040" t="s">
        <v>672</v>
      </c>
      <c r="E34" s="1041">
        <v>0.8</v>
      </c>
      <c r="F34" s="1041">
        <v>0</v>
      </c>
      <c r="G34" s="1042">
        <v>0.8</v>
      </c>
      <c r="H34" s="859"/>
      <c r="I34" s="859"/>
      <c r="J34" s="859"/>
      <c r="K34" s="859"/>
      <c r="L34" s="904"/>
      <c r="M34" s="859"/>
      <c r="N34" s="859"/>
    </row>
    <row r="35" spans="1:14" ht="15">
      <c r="A35" s="859"/>
      <c r="B35" s="859"/>
      <c r="C35" s="1590" t="s">
        <v>532</v>
      </c>
      <c r="D35" s="1037" t="s">
        <v>783</v>
      </c>
      <c r="E35" s="1038">
        <v>5.3</v>
      </c>
      <c r="F35" s="1252">
        <v>0</v>
      </c>
      <c r="G35" s="1039">
        <v>5.3</v>
      </c>
      <c r="H35" s="859"/>
      <c r="I35" s="859"/>
      <c r="J35" s="859"/>
      <c r="K35" s="859"/>
      <c r="L35" s="904"/>
      <c r="M35" s="859"/>
      <c r="N35" s="859"/>
    </row>
    <row r="36" spans="1:14" ht="15">
      <c r="A36" s="859"/>
      <c r="B36" s="859"/>
      <c r="C36" s="1591"/>
      <c r="D36" s="1043" t="s">
        <v>784</v>
      </c>
      <c r="E36" s="1038">
        <v>0.8</v>
      </c>
      <c r="F36" s="1252">
        <v>1.3</v>
      </c>
      <c r="G36" s="1001">
        <v>2.1</v>
      </c>
      <c r="H36" s="859"/>
      <c r="I36" s="859"/>
      <c r="J36" s="859"/>
      <c r="K36" s="859"/>
      <c r="L36" s="904"/>
      <c r="M36" s="859"/>
      <c r="N36" s="859"/>
    </row>
    <row r="37" spans="1:14" ht="15.75" thickBot="1">
      <c r="A37" s="859"/>
      <c r="B37" s="859"/>
      <c r="C37" s="1592"/>
      <c r="D37" s="1044" t="s">
        <v>643</v>
      </c>
      <c r="E37" s="1041">
        <v>0</v>
      </c>
      <c r="F37" s="1041">
        <v>0</v>
      </c>
      <c r="G37" s="1042">
        <v>0</v>
      </c>
      <c r="H37" s="859"/>
      <c r="I37" s="859"/>
      <c r="J37" s="859"/>
      <c r="K37" s="859"/>
      <c r="L37" s="904"/>
      <c r="M37" s="859"/>
      <c r="N37" s="859"/>
    </row>
    <row r="38" spans="1:14" ht="15">
      <c r="A38" s="859"/>
      <c r="B38" s="859"/>
      <c r="C38" s="1590" t="s">
        <v>750</v>
      </c>
      <c r="D38" s="1037" t="s">
        <v>644</v>
      </c>
      <c r="E38" s="1038">
        <v>7.5</v>
      </c>
      <c r="F38" s="1252">
        <v>0</v>
      </c>
      <c r="G38" s="1039">
        <v>7.5</v>
      </c>
      <c r="H38" s="859"/>
      <c r="I38" s="859"/>
      <c r="J38" s="859"/>
      <c r="K38" s="859"/>
      <c r="L38" s="904"/>
      <c r="M38" s="859"/>
      <c r="N38" s="859"/>
    </row>
    <row r="39" spans="1:14" ht="15">
      <c r="A39" s="859"/>
      <c r="B39" s="859"/>
      <c r="C39" s="1591"/>
      <c r="D39" s="1043" t="s">
        <v>550</v>
      </c>
      <c r="E39" s="1038">
        <v>0.6</v>
      </c>
      <c r="F39" s="1252">
        <v>0.6</v>
      </c>
      <c r="G39" s="1001">
        <v>1.2</v>
      </c>
      <c r="H39" s="859"/>
      <c r="I39" s="859"/>
      <c r="J39" s="859"/>
      <c r="K39" s="859"/>
      <c r="L39" s="904"/>
      <c r="M39" s="859"/>
      <c r="N39" s="859"/>
    </row>
    <row r="40" spans="1:14" ht="15">
      <c r="A40" s="859"/>
      <c r="B40" s="859"/>
      <c r="C40" s="1591"/>
      <c r="D40" s="1045" t="s">
        <v>551</v>
      </c>
      <c r="E40" s="1038">
        <v>0</v>
      </c>
      <c r="F40" s="1252">
        <v>0</v>
      </c>
      <c r="G40" s="1001">
        <v>0</v>
      </c>
      <c r="H40" s="859"/>
      <c r="I40" s="859"/>
      <c r="J40" s="859"/>
      <c r="K40" s="859"/>
      <c r="L40" s="904"/>
      <c r="M40" s="859"/>
      <c r="N40" s="859"/>
    </row>
    <row r="41" spans="1:14" ht="15">
      <c r="A41" s="859"/>
      <c r="B41" s="859"/>
      <c r="C41" s="1591"/>
      <c r="D41" s="1045" t="s">
        <v>643</v>
      </c>
      <c r="E41" s="1038">
        <v>2.5</v>
      </c>
      <c r="F41" s="1252">
        <v>0.1</v>
      </c>
      <c r="G41" s="1001">
        <v>2.6</v>
      </c>
      <c r="H41" s="859"/>
      <c r="I41" s="859"/>
      <c r="J41" s="859"/>
      <c r="K41" s="859"/>
      <c r="L41" s="904"/>
      <c r="M41" s="859"/>
      <c r="N41" s="859"/>
    </row>
    <row r="42" spans="1:14" ht="15">
      <c r="A42" s="859"/>
      <c r="B42" s="859"/>
      <c r="C42" s="1591"/>
      <c r="D42" s="1043" t="s">
        <v>556</v>
      </c>
      <c r="E42" s="1038">
        <v>1</v>
      </c>
      <c r="F42" s="1252">
        <v>0.3</v>
      </c>
      <c r="G42" s="1001">
        <v>1.3</v>
      </c>
      <c r="H42" s="859"/>
      <c r="I42" s="859"/>
      <c r="J42" s="859"/>
      <c r="K42" s="859"/>
      <c r="L42" s="904"/>
      <c r="M42" s="859"/>
      <c r="N42" s="859"/>
    </row>
    <row r="43" spans="1:14" ht="15.75" thickBot="1">
      <c r="A43" s="859"/>
      <c r="B43" s="859"/>
      <c r="C43" s="1592"/>
      <c r="D43" s="1040" t="s">
        <v>557</v>
      </c>
      <c r="E43" s="1041">
        <v>1.1</v>
      </c>
      <c r="F43" s="1041">
        <v>0</v>
      </c>
      <c r="G43" s="1042">
        <v>1.1</v>
      </c>
      <c r="H43" s="859"/>
      <c r="I43" s="859"/>
      <c r="J43" s="859"/>
      <c r="K43" s="859"/>
      <c r="L43" s="904"/>
      <c r="M43" s="859"/>
      <c r="N43" s="859"/>
    </row>
    <row r="44" spans="1:14" ht="15">
      <c r="A44" s="859"/>
      <c r="B44" s="859"/>
      <c r="C44" s="1590" t="s">
        <v>756</v>
      </c>
      <c r="D44" s="1037" t="s">
        <v>644</v>
      </c>
      <c r="E44" s="1038">
        <v>0.8</v>
      </c>
      <c r="F44" s="1252">
        <v>0</v>
      </c>
      <c r="G44" s="1039">
        <v>0.8</v>
      </c>
      <c r="H44" s="859"/>
      <c r="I44" s="859"/>
      <c r="J44" s="859"/>
      <c r="K44" s="859"/>
      <c r="L44" s="904"/>
      <c r="M44" s="859"/>
      <c r="N44" s="859"/>
    </row>
    <row r="45" spans="1:14" ht="15">
      <c r="A45" s="859"/>
      <c r="B45" s="859"/>
      <c r="C45" s="1591"/>
      <c r="D45" s="1043" t="s">
        <v>550</v>
      </c>
      <c r="E45" s="1038">
        <v>0.6</v>
      </c>
      <c r="F45" s="1252">
        <v>0.2</v>
      </c>
      <c r="G45" s="1001">
        <v>0.8</v>
      </c>
      <c r="H45" s="859"/>
      <c r="I45" s="859"/>
      <c r="J45" s="859"/>
      <c r="K45" s="859"/>
      <c r="L45" s="904"/>
      <c r="M45" s="859"/>
      <c r="N45" s="859"/>
    </row>
    <row r="46" spans="1:14" ht="15">
      <c r="A46" s="859"/>
      <c r="B46" s="859"/>
      <c r="C46" s="1591"/>
      <c r="D46" s="1043" t="s">
        <v>551</v>
      </c>
      <c r="E46" s="1038">
        <v>0</v>
      </c>
      <c r="F46" s="1252">
        <v>0</v>
      </c>
      <c r="G46" s="1001">
        <v>0</v>
      </c>
      <c r="H46" s="859"/>
      <c r="I46" s="859"/>
      <c r="J46" s="859"/>
      <c r="K46" s="859"/>
      <c r="L46" s="904"/>
      <c r="M46" s="859"/>
      <c r="N46" s="859"/>
    </row>
    <row r="47" spans="1:14" ht="15">
      <c r="A47" s="859"/>
      <c r="B47" s="859"/>
      <c r="C47" s="1591"/>
      <c r="D47" s="1043" t="s">
        <v>643</v>
      </c>
      <c r="E47" s="1038">
        <v>0.7</v>
      </c>
      <c r="F47" s="1252">
        <v>0</v>
      </c>
      <c r="G47" s="1001">
        <v>0.7</v>
      </c>
      <c r="H47" s="859"/>
      <c r="I47" s="859"/>
      <c r="J47" s="859"/>
      <c r="K47" s="859"/>
      <c r="L47" s="904"/>
      <c r="M47" s="859"/>
      <c r="N47" s="859"/>
    </row>
    <row r="48" spans="1:14" ht="15">
      <c r="A48" s="859"/>
      <c r="B48" s="859"/>
      <c r="C48" s="1591"/>
      <c r="D48" s="1043" t="s">
        <v>556</v>
      </c>
      <c r="E48" s="1038">
        <v>1.4</v>
      </c>
      <c r="F48" s="1252">
        <v>0</v>
      </c>
      <c r="G48" s="1001">
        <v>1.4</v>
      </c>
      <c r="H48" s="859"/>
      <c r="I48" s="859"/>
      <c r="J48" s="859"/>
      <c r="K48" s="859"/>
      <c r="L48" s="904"/>
      <c r="M48" s="859"/>
      <c r="N48" s="859"/>
    </row>
    <row r="49" spans="1:14" ht="15.75" thickBot="1">
      <c r="A49" s="859"/>
      <c r="B49" s="859"/>
      <c r="C49" s="1592"/>
      <c r="D49" s="1046" t="s">
        <v>557</v>
      </c>
      <c r="E49" s="1041">
        <v>0.7</v>
      </c>
      <c r="F49" s="1041">
        <v>0</v>
      </c>
      <c r="G49" s="1042">
        <v>0.7</v>
      </c>
      <c r="H49" s="859"/>
      <c r="I49" s="859"/>
      <c r="J49" s="859"/>
      <c r="K49" s="859"/>
      <c r="L49" s="904"/>
      <c r="M49" s="859"/>
      <c r="N49" s="859"/>
    </row>
    <row r="50" spans="1:14" ht="15">
      <c r="A50" s="859"/>
      <c r="B50" s="859"/>
      <c r="C50" s="1590" t="s">
        <v>754</v>
      </c>
      <c r="D50" s="1047" t="s">
        <v>644</v>
      </c>
      <c r="E50" s="1038">
        <v>5.7</v>
      </c>
      <c r="F50" s="1252">
        <v>0</v>
      </c>
      <c r="G50" s="1039">
        <v>5.7</v>
      </c>
      <c r="H50" s="859"/>
      <c r="I50" s="859"/>
      <c r="J50" s="859"/>
      <c r="K50" s="859"/>
      <c r="L50" s="904"/>
      <c r="M50" s="859"/>
      <c r="N50" s="859"/>
    </row>
    <row r="51" spans="1:14" ht="15">
      <c r="A51" s="859"/>
      <c r="B51" s="859"/>
      <c r="C51" s="1591"/>
      <c r="D51" s="1043" t="s">
        <v>550</v>
      </c>
      <c r="E51" s="1038">
        <v>0.8</v>
      </c>
      <c r="F51" s="1252">
        <v>0</v>
      </c>
      <c r="G51" s="1001">
        <v>0.8</v>
      </c>
      <c r="H51" s="859"/>
      <c r="I51" s="859"/>
      <c r="J51" s="859"/>
      <c r="K51" s="859"/>
      <c r="L51" s="904"/>
      <c r="M51" s="859"/>
      <c r="N51" s="859"/>
    </row>
    <row r="52" spans="1:14" ht="15">
      <c r="A52" s="859"/>
      <c r="B52" s="859"/>
      <c r="C52" s="1591"/>
      <c r="D52" s="1048" t="s">
        <v>558</v>
      </c>
      <c r="E52" s="1038">
        <v>0</v>
      </c>
      <c r="F52" s="1252">
        <v>0</v>
      </c>
      <c r="G52" s="1001">
        <v>0</v>
      </c>
      <c r="H52" s="859"/>
      <c r="I52" s="859"/>
      <c r="J52" s="859"/>
      <c r="K52" s="859"/>
      <c r="L52" s="904"/>
      <c r="M52" s="859"/>
      <c r="N52" s="859"/>
    </row>
    <row r="53" spans="1:14" ht="15">
      <c r="A53" s="859"/>
      <c r="B53" s="859"/>
      <c r="C53" s="1591"/>
      <c r="D53" s="1048" t="s">
        <v>643</v>
      </c>
      <c r="E53" s="1038">
        <v>0.3</v>
      </c>
      <c r="F53" s="1252">
        <v>0</v>
      </c>
      <c r="G53" s="1001">
        <v>0.3</v>
      </c>
      <c r="H53" s="859"/>
      <c r="I53" s="859"/>
      <c r="J53" s="859"/>
      <c r="K53" s="859"/>
      <c r="L53" s="904"/>
      <c r="M53" s="859"/>
      <c r="N53" s="859"/>
    </row>
    <row r="54" spans="1:14" ht="15">
      <c r="A54" s="859"/>
      <c r="B54" s="859"/>
      <c r="C54" s="1591"/>
      <c r="D54" s="1048" t="s">
        <v>556</v>
      </c>
      <c r="E54" s="1038">
        <v>1</v>
      </c>
      <c r="F54" s="1252">
        <v>0</v>
      </c>
      <c r="G54" s="1001">
        <v>1</v>
      </c>
      <c r="H54" s="859"/>
      <c r="I54" s="859"/>
      <c r="J54" s="859"/>
      <c r="K54" s="859"/>
      <c r="L54" s="904"/>
      <c r="M54" s="859"/>
      <c r="N54" s="859"/>
    </row>
    <row r="55" spans="1:14" ht="15.75" thickBot="1">
      <c r="A55" s="859"/>
      <c r="B55" s="859"/>
      <c r="C55" s="1592"/>
      <c r="D55" s="1046" t="s">
        <v>557</v>
      </c>
      <c r="E55" s="1038">
        <v>0.8</v>
      </c>
      <c r="F55" s="1252">
        <v>0</v>
      </c>
      <c r="G55" s="1001">
        <v>0.8</v>
      </c>
      <c r="H55" s="859"/>
      <c r="I55" s="859"/>
      <c r="J55" s="859"/>
      <c r="K55" s="859"/>
      <c r="L55" s="904"/>
      <c r="M55" s="859"/>
      <c r="N55" s="859"/>
    </row>
    <row r="56" spans="1:14" ht="15.75" thickBot="1">
      <c r="A56" s="859"/>
      <c r="B56" s="859"/>
      <c r="C56" s="898" t="s">
        <v>559</v>
      </c>
      <c r="D56" s="899"/>
      <c r="E56" s="1049">
        <v>35.3</v>
      </c>
      <c r="F56" s="1049">
        <v>2.5</v>
      </c>
      <c r="G56" s="1049">
        <v>37.8</v>
      </c>
      <c r="H56" s="1018"/>
      <c r="I56" s="859"/>
      <c r="J56" s="859"/>
      <c r="K56" s="859"/>
      <c r="L56" s="859"/>
      <c r="M56" s="904"/>
      <c r="N56" s="859"/>
    </row>
    <row r="57" spans="1:14" ht="15.75" thickBot="1">
      <c r="A57" s="859"/>
      <c r="B57" s="859"/>
      <c r="C57" s="1050" t="s">
        <v>526</v>
      </c>
      <c r="D57" s="901"/>
      <c r="E57" s="1038">
        <v>-1.2</v>
      </c>
      <c r="F57" s="1252"/>
      <c r="G57" s="1001">
        <v>-1.2</v>
      </c>
      <c r="H57" s="1018"/>
      <c r="I57" s="1018"/>
      <c r="J57" s="1018"/>
      <c r="K57" s="859"/>
      <c r="L57" s="859"/>
      <c r="M57" s="904"/>
      <c r="N57" s="859"/>
    </row>
    <row r="58" spans="1:14" ht="15.75" thickBot="1">
      <c r="A58" s="859"/>
      <c r="B58" s="859"/>
      <c r="C58" s="898" t="s">
        <v>560</v>
      </c>
      <c r="D58" s="899"/>
      <c r="E58" s="1049">
        <v>34.1</v>
      </c>
      <c r="F58" s="1049">
        <v>2.5</v>
      </c>
      <c r="G58" s="1049">
        <v>36.6</v>
      </c>
      <c r="H58" s="859"/>
      <c r="I58" s="859"/>
      <c r="J58" s="859"/>
      <c r="K58" s="859"/>
      <c r="L58" s="904"/>
      <c r="M58" s="859"/>
      <c r="N58" s="859"/>
    </row>
    <row r="59" spans="1:14" ht="13.5" thickBo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1:14" ht="15.75" thickBot="1">
      <c r="A60" s="859"/>
      <c r="B60" s="859"/>
      <c r="C60" s="1051" t="s">
        <v>561</v>
      </c>
      <c r="D60" s="1052"/>
      <c r="E60" s="1053" t="s">
        <v>751</v>
      </c>
      <c r="F60" s="1053" t="s">
        <v>750</v>
      </c>
      <c r="G60" s="1053" t="s">
        <v>756</v>
      </c>
      <c r="H60" s="1053" t="s">
        <v>754</v>
      </c>
      <c r="I60" s="1053" t="s">
        <v>757</v>
      </c>
      <c r="J60" s="859"/>
      <c r="K60" s="859"/>
      <c r="L60" s="859"/>
      <c r="M60" s="904"/>
      <c r="N60" s="859"/>
    </row>
    <row r="61" spans="1:14" ht="18.75" thickBot="1">
      <c r="A61" s="859"/>
      <c r="B61" s="859"/>
      <c r="C61" s="1054" t="s">
        <v>518</v>
      </c>
      <c r="D61" s="1055"/>
      <c r="E61" s="862" t="s">
        <v>597</v>
      </c>
      <c r="F61" s="862" t="s">
        <v>597</v>
      </c>
      <c r="G61" s="862" t="s">
        <v>597</v>
      </c>
      <c r="H61" s="862" t="s">
        <v>597</v>
      </c>
      <c r="I61" s="862" t="s">
        <v>597</v>
      </c>
      <c r="J61" s="859"/>
      <c r="K61" s="859"/>
      <c r="L61" s="859"/>
      <c r="M61" s="859"/>
      <c r="N61" s="904"/>
    </row>
    <row r="62" spans="1:14" ht="15">
      <c r="A62" s="859"/>
      <c r="B62" s="859"/>
      <c r="C62" s="1056" t="s">
        <v>562</v>
      </c>
      <c r="D62" s="1057"/>
      <c r="E62" s="1038">
        <v>0.1</v>
      </c>
      <c r="F62" s="1252">
        <v>2</v>
      </c>
      <c r="G62" s="1252">
        <v>0</v>
      </c>
      <c r="H62" s="1252">
        <v>0</v>
      </c>
      <c r="I62" s="1058">
        <v>2.1</v>
      </c>
      <c r="J62" s="859"/>
      <c r="K62" s="859"/>
      <c r="L62" s="859"/>
      <c r="M62" s="859"/>
      <c r="N62" s="904"/>
    </row>
    <row r="63" spans="1:14" ht="15">
      <c r="A63" s="859"/>
      <c r="B63" s="859"/>
      <c r="C63" s="1059" t="s">
        <v>563</v>
      </c>
      <c r="D63" s="1060"/>
      <c r="E63" s="1038">
        <v>0</v>
      </c>
      <c r="F63" s="1252">
        <v>0</v>
      </c>
      <c r="G63" s="1252">
        <v>0</v>
      </c>
      <c r="H63" s="1252">
        <v>0</v>
      </c>
      <c r="I63" s="1010">
        <v>0</v>
      </c>
      <c r="J63" s="859"/>
      <c r="K63" s="859"/>
      <c r="L63" s="859"/>
      <c r="M63" s="859"/>
      <c r="N63" s="904"/>
    </row>
    <row r="64" spans="1:14" ht="15">
      <c r="A64" s="859"/>
      <c r="B64" s="859"/>
      <c r="C64" s="1059" t="s">
        <v>552</v>
      </c>
      <c r="D64" s="1060"/>
      <c r="E64" s="1038">
        <v>0</v>
      </c>
      <c r="F64" s="1252">
        <v>0</v>
      </c>
      <c r="G64" s="1252">
        <v>0</v>
      </c>
      <c r="H64" s="1252">
        <v>0</v>
      </c>
      <c r="I64" s="1010">
        <v>0</v>
      </c>
      <c r="J64" s="859"/>
      <c r="K64" s="859"/>
      <c r="L64" s="859"/>
      <c r="M64" s="859"/>
      <c r="N64" s="904"/>
    </row>
    <row r="65" spans="1:14" ht="15">
      <c r="A65" s="859"/>
      <c r="B65" s="859"/>
      <c r="C65" s="1059" t="s">
        <v>686</v>
      </c>
      <c r="D65" s="1060"/>
      <c r="E65" s="1038">
        <v>0</v>
      </c>
      <c r="F65" s="1252">
        <v>0</v>
      </c>
      <c r="G65" s="1252">
        <v>0</v>
      </c>
      <c r="H65" s="1252">
        <v>0</v>
      </c>
      <c r="I65" s="1010">
        <v>0</v>
      </c>
      <c r="J65" s="859"/>
      <c r="K65" s="859"/>
      <c r="L65" s="859"/>
      <c r="M65" s="859"/>
      <c r="N65" s="904"/>
    </row>
    <row r="66" spans="1:14" ht="15">
      <c r="A66" s="859"/>
      <c r="B66" s="859"/>
      <c r="C66" s="1059" t="s">
        <v>687</v>
      </c>
      <c r="D66" s="1060"/>
      <c r="E66" s="1038">
        <v>0</v>
      </c>
      <c r="F66" s="1252">
        <v>0</v>
      </c>
      <c r="G66" s="1252">
        <v>0</v>
      </c>
      <c r="H66" s="1252">
        <v>0</v>
      </c>
      <c r="I66" s="1010">
        <v>0</v>
      </c>
      <c r="J66" s="859"/>
      <c r="K66" s="859"/>
      <c r="L66" s="859"/>
      <c r="M66" s="859"/>
      <c r="N66" s="904"/>
    </row>
    <row r="67" spans="1:14" ht="15">
      <c r="A67" s="859"/>
      <c r="B67" s="859"/>
      <c r="C67" s="1059" t="s">
        <v>688</v>
      </c>
      <c r="D67" s="1060"/>
      <c r="E67" s="1038">
        <v>0</v>
      </c>
      <c r="F67" s="1252">
        <v>0</v>
      </c>
      <c r="G67" s="1252">
        <v>0</v>
      </c>
      <c r="H67" s="1252">
        <v>0</v>
      </c>
      <c r="I67" s="1010">
        <v>0</v>
      </c>
      <c r="J67" s="859"/>
      <c r="K67" s="859"/>
      <c r="L67" s="859"/>
      <c r="M67" s="859"/>
      <c r="N67" s="904"/>
    </row>
    <row r="68" spans="1:14" ht="15">
      <c r="A68" s="859"/>
      <c r="B68" s="859"/>
      <c r="C68" s="1059" t="s">
        <v>689</v>
      </c>
      <c r="D68" s="1060"/>
      <c r="E68" s="1038">
        <v>0</v>
      </c>
      <c r="F68" s="1252">
        <v>0</v>
      </c>
      <c r="G68" s="1252">
        <v>0</v>
      </c>
      <c r="H68" s="1252">
        <v>0</v>
      </c>
      <c r="I68" s="1010">
        <v>0</v>
      </c>
      <c r="J68" s="859"/>
      <c r="K68" s="859"/>
      <c r="L68" s="859"/>
      <c r="M68" s="859"/>
      <c r="N68" s="904"/>
    </row>
    <row r="69" spans="1:14" ht="15">
      <c r="A69" s="859"/>
      <c r="B69" s="859"/>
      <c r="C69" s="1059" t="s">
        <v>576</v>
      </c>
      <c r="D69" s="1061"/>
      <c r="E69" s="1038">
        <v>0</v>
      </c>
      <c r="F69" s="1252">
        <v>3.4</v>
      </c>
      <c r="G69" s="1252">
        <v>0</v>
      </c>
      <c r="H69" s="1252">
        <v>0</v>
      </c>
      <c r="I69" s="1017">
        <v>3.4</v>
      </c>
      <c r="J69" s="859"/>
      <c r="K69" s="859"/>
      <c r="L69" s="859"/>
      <c r="M69" s="859"/>
      <c r="N69" s="904"/>
    </row>
    <row r="70" spans="1:14" ht="15.75" thickBot="1">
      <c r="A70" s="859"/>
      <c r="B70" s="859"/>
      <c r="C70" s="1062" t="s">
        <v>577</v>
      </c>
      <c r="D70" s="1063"/>
      <c r="E70" s="1038">
        <v>0.8</v>
      </c>
      <c r="F70" s="1252">
        <v>0.8</v>
      </c>
      <c r="G70" s="1252">
        <v>0.3</v>
      </c>
      <c r="H70" s="1252">
        <v>0</v>
      </c>
      <c r="I70" s="1064">
        <v>1.9</v>
      </c>
      <c r="J70" s="859"/>
      <c r="K70" s="859"/>
      <c r="L70" s="859"/>
      <c r="M70" s="859"/>
      <c r="N70" s="904"/>
    </row>
    <row r="71" spans="1:14" ht="15.75" thickBot="1">
      <c r="A71" s="859"/>
      <c r="B71" s="859"/>
      <c r="C71" s="1065" t="s">
        <v>705</v>
      </c>
      <c r="D71" s="1066"/>
      <c r="E71" s="1024">
        <v>0.9</v>
      </c>
      <c r="F71" s="1024">
        <v>6.2</v>
      </c>
      <c r="G71" s="1024">
        <v>0.3</v>
      </c>
      <c r="H71" s="1024">
        <v>0</v>
      </c>
      <c r="I71" s="1024">
        <v>7.4</v>
      </c>
      <c r="J71" s="859"/>
      <c r="K71" s="859"/>
      <c r="L71" s="859"/>
      <c r="M71" s="859"/>
      <c r="N71" s="904"/>
    </row>
    <row r="72" spans="1:14" ht="15.75" thickBot="1">
      <c r="A72" s="859"/>
      <c r="B72" s="859"/>
      <c r="C72" s="1067" t="s">
        <v>526</v>
      </c>
      <c r="D72" s="901"/>
      <c r="E72" s="1038"/>
      <c r="F72" s="1252">
        <v>-0.1</v>
      </c>
      <c r="G72" s="1252"/>
      <c r="H72" s="1252"/>
      <c r="I72" s="1024">
        <v>-0.1</v>
      </c>
      <c r="J72" s="859"/>
      <c r="K72" s="859"/>
      <c r="L72" s="859"/>
      <c r="M72" s="904"/>
      <c r="N72" s="859"/>
    </row>
    <row r="73" spans="1:14" ht="15.75" thickBot="1">
      <c r="A73" s="859"/>
      <c r="B73" s="859"/>
      <c r="C73" s="1065" t="s">
        <v>445</v>
      </c>
      <c r="D73" s="899"/>
      <c r="E73" s="1068">
        <v>0.9</v>
      </c>
      <c r="F73" s="1068">
        <v>6.1</v>
      </c>
      <c r="G73" s="1068">
        <v>0.3</v>
      </c>
      <c r="H73" s="1068">
        <v>0</v>
      </c>
      <c r="I73" s="1068">
        <v>7.3</v>
      </c>
      <c r="J73" s="859"/>
      <c r="K73" s="859"/>
      <c r="L73" s="859"/>
      <c r="M73" s="904"/>
      <c r="N73" s="859"/>
    </row>
    <row r="74" spans="1:14" ht="15.75" thickBot="1">
      <c r="A74" s="859"/>
      <c r="B74" s="859"/>
      <c r="C74" s="952"/>
      <c r="D74" s="1069"/>
      <c r="E74" s="1069"/>
      <c r="F74" s="1069"/>
      <c r="G74" s="1069"/>
      <c r="H74" s="1070"/>
      <c r="I74" s="1070"/>
      <c r="J74" s="1070"/>
      <c r="K74" s="1070"/>
      <c r="L74" s="859"/>
      <c r="M74" s="859"/>
      <c r="N74" s="859"/>
    </row>
    <row r="75" spans="1:14" ht="15.75" thickBot="1">
      <c r="A75" s="859"/>
      <c r="B75" s="859"/>
      <c r="C75" s="1065" t="s">
        <v>448</v>
      </c>
      <c r="D75" s="1066"/>
      <c r="E75" s="1071">
        <v>45.2</v>
      </c>
      <c r="F75" s="1018"/>
      <c r="G75" s="859"/>
      <c r="H75" s="859"/>
      <c r="I75" s="859"/>
      <c r="J75" s="859"/>
      <c r="K75" s="859"/>
      <c r="L75" s="859"/>
      <c r="M75" s="904"/>
      <c r="N75" s="859"/>
    </row>
    <row r="76" spans="1:14" ht="15.75" thickBot="1">
      <c r="A76" s="859"/>
      <c r="B76" s="859"/>
      <c r="C76" s="1065" t="s">
        <v>526</v>
      </c>
      <c r="D76" s="901"/>
      <c r="E76" s="1072">
        <v>-1.3</v>
      </c>
      <c r="F76" s="1018"/>
      <c r="G76" s="859"/>
      <c r="H76" s="859"/>
      <c r="I76" s="859"/>
      <c r="J76" s="859"/>
      <c r="K76" s="859"/>
      <c r="L76" s="859"/>
      <c r="M76" s="904"/>
      <c r="N76" s="859"/>
    </row>
    <row r="77" spans="1:14" ht="15.75" thickBot="1">
      <c r="A77" s="859"/>
      <c r="B77" s="859"/>
      <c r="C77" s="1065" t="s">
        <v>321</v>
      </c>
      <c r="D77" s="899"/>
      <c r="E77" s="1068">
        <v>43.9</v>
      </c>
      <c r="F77" s="859"/>
      <c r="G77" s="859"/>
      <c r="H77" s="859"/>
      <c r="I77" s="859"/>
      <c r="J77" s="859"/>
      <c r="K77" s="859"/>
      <c r="L77" s="859"/>
      <c r="M77" s="904"/>
      <c r="N77" s="859"/>
    </row>
    <row r="78" spans="1:14" ht="15" thickBot="1">
      <c r="A78" s="859"/>
      <c r="B78" s="859"/>
      <c r="C78" s="855"/>
      <c r="D78" s="855"/>
      <c r="E78" s="855"/>
      <c r="F78" s="855"/>
      <c r="G78" s="855"/>
      <c r="H78" s="855"/>
      <c r="I78" s="855"/>
      <c r="J78" s="855"/>
      <c r="K78" s="855"/>
      <c r="L78" s="859"/>
      <c r="M78" s="859"/>
      <c r="N78" s="859"/>
    </row>
    <row r="79" spans="1:14" ht="18.75" thickBot="1">
      <c r="A79" s="859"/>
      <c r="B79" s="859"/>
      <c r="C79" s="1073" t="s">
        <v>322</v>
      </c>
      <c r="D79" s="1074"/>
      <c r="E79" s="1269"/>
      <c r="F79" s="1269"/>
      <c r="G79" s="1270"/>
      <c r="H79" s="859"/>
      <c r="I79" s="859"/>
      <c r="J79" s="859"/>
      <c r="K79" s="859"/>
      <c r="L79" s="859"/>
      <c r="M79" s="859"/>
      <c r="N79" s="859"/>
    </row>
    <row r="80" spans="1:14" ht="60.75" thickBot="1">
      <c r="A80" s="859"/>
      <c r="B80" s="859"/>
      <c r="C80" s="1075" t="s">
        <v>518</v>
      </c>
      <c r="D80" s="1030"/>
      <c r="E80" s="1076" t="s">
        <v>757</v>
      </c>
      <c r="F80" s="1077" t="s">
        <v>323</v>
      </c>
      <c r="G80" s="1077" t="s">
        <v>324</v>
      </c>
      <c r="H80" s="859"/>
      <c r="I80" s="859"/>
      <c r="J80" s="859"/>
      <c r="K80" s="859"/>
      <c r="L80" s="859"/>
      <c r="M80" s="859"/>
      <c r="N80" s="859"/>
    </row>
    <row r="81" spans="1:14" ht="15.75" thickBot="1">
      <c r="A81" s="859"/>
      <c r="B81" s="859"/>
      <c r="C81" s="1078"/>
      <c r="D81" s="1079"/>
      <c r="E81" s="1271" t="s">
        <v>597</v>
      </c>
      <c r="F81" s="862" t="s">
        <v>597</v>
      </c>
      <c r="G81" s="862" t="s">
        <v>597</v>
      </c>
      <c r="H81" s="859"/>
      <c r="I81" s="859"/>
      <c r="J81" s="859"/>
      <c r="K81" s="859"/>
      <c r="L81" s="859"/>
      <c r="M81" s="859"/>
      <c r="N81" s="859"/>
    </row>
    <row r="82" spans="1:14" ht="14.25">
      <c r="A82" s="859"/>
      <c r="B82" s="859"/>
      <c r="C82" s="1080" t="s">
        <v>331</v>
      </c>
      <c r="D82" s="1081"/>
      <c r="E82" s="1039">
        <v>8.8</v>
      </c>
      <c r="F82" s="1252">
        <v>8.8</v>
      </c>
      <c r="G82" s="1038">
        <v>0</v>
      </c>
      <c r="H82" s="859"/>
      <c r="I82" s="859"/>
      <c r="J82" s="859"/>
      <c r="K82" s="859"/>
      <c r="L82" s="859"/>
      <c r="M82" s="859"/>
      <c r="N82" s="859"/>
    </row>
    <row r="83" spans="1:14" ht="14.25">
      <c r="A83" s="859"/>
      <c r="B83" s="859"/>
      <c r="C83" s="1082" t="s">
        <v>325</v>
      </c>
      <c r="D83" s="935"/>
      <c r="E83" s="1001">
        <v>0</v>
      </c>
      <c r="F83" s="1252">
        <v>0</v>
      </c>
      <c r="G83" s="1038">
        <v>0</v>
      </c>
      <c r="H83" s="859"/>
      <c r="I83" s="859"/>
      <c r="J83" s="859"/>
      <c r="K83" s="859"/>
      <c r="L83" s="859"/>
      <c r="M83" s="859"/>
      <c r="N83" s="859"/>
    </row>
    <row r="84" spans="1:14" ht="14.25">
      <c r="A84" s="859"/>
      <c r="B84" s="859"/>
      <c r="C84" s="1082" t="s">
        <v>326</v>
      </c>
      <c r="D84" s="935"/>
      <c r="E84" s="1001">
        <v>2.6</v>
      </c>
      <c r="F84" s="1252">
        <v>2.6</v>
      </c>
      <c r="G84" s="1038">
        <v>0</v>
      </c>
      <c r="H84" s="859"/>
      <c r="I84" s="859"/>
      <c r="J84" s="859"/>
      <c r="K84" s="859"/>
      <c r="L84" s="859"/>
      <c r="M84" s="859"/>
      <c r="N84" s="859"/>
    </row>
    <row r="85" spans="1:14" ht="14.25">
      <c r="A85" s="859"/>
      <c r="B85" s="859"/>
      <c r="C85" s="1082" t="s">
        <v>327</v>
      </c>
      <c r="D85" s="935"/>
      <c r="E85" s="1001">
        <v>0.4</v>
      </c>
      <c r="F85" s="1252">
        <v>0.4</v>
      </c>
      <c r="G85" s="1038">
        <v>0</v>
      </c>
      <c r="H85" s="859"/>
      <c r="I85" s="859"/>
      <c r="J85" s="859"/>
      <c r="K85" s="859"/>
      <c r="L85" s="859"/>
      <c r="M85" s="859"/>
      <c r="N85" s="859"/>
    </row>
    <row r="86" spans="1:14" ht="14.25">
      <c r="A86" s="859"/>
      <c r="B86" s="859"/>
      <c r="C86" s="1082" t="s">
        <v>193</v>
      </c>
      <c r="D86" s="935"/>
      <c r="E86" s="1001">
        <v>2</v>
      </c>
      <c r="F86" s="1252">
        <v>2</v>
      </c>
      <c r="G86" s="1038">
        <v>0</v>
      </c>
      <c r="H86" s="859"/>
      <c r="I86" s="859"/>
      <c r="J86" s="859"/>
      <c r="K86" s="859"/>
      <c r="L86" s="859"/>
      <c r="M86" s="859"/>
      <c r="N86" s="859"/>
    </row>
    <row r="87" spans="1:14" ht="14.25">
      <c r="A87" s="859"/>
      <c r="B87" s="859"/>
      <c r="C87" s="1082" t="s">
        <v>704</v>
      </c>
      <c r="D87" s="935"/>
      <c r="E87" s="1001">
        <v>0.6</v>
      </c>
      <c r="F87" s="1252">
        <v>0.6</v>
      </c>
      <c r="G87" s="1038">
        <v>0</v>
      </c>
      <c r="H87" s="859"/>
      <c r="I87" s="859"/>
      <c r="J87" s="859"/>
      <c r="K87" s="859"/>
      <c r="L87" s="859"/>
      <c r="M87" s="859"/>
      <c r="N87" s="859"/>
    </row>
    <row r="88" spans="1:14" ht="15" thickBot="1">
      <c r="A88" s="859"/>
      <c r="B88" s="859"/>
      <c r="C88" s="1082" t="s">
        <v>650</v>
      </c>
      <c r="D88" s="935"/>
      <c r="E88" s="1001">
        <v>0.5</v>
      </c>
      <c r="F88" s="1252">
        <v>0</v>
      </c>
      <c r="G88" s="1038">
        <v>0.5</v>
      </c>
      <c r="H88" s="1018"/>
      <c r="I88" s="859"/>
      <c r="J88" s="859"/>
      <c r="K88" s="859"/>
      <c r="L88" s="859"/>
      <c r="M88" s="859"/>
      <c r="N88" s="859"/>
    </row>
    <row r="89" spans="1:14" ht="15.75" thickBot="1">
      <c r="A89" s="859"/>
      <c r="B89" s="859"/>
      <c r="C89" s="898" t="s">
        <v>651</v>
      </c>
      <c r="D89" s="899"/>
      <c r="E89" s="1024">
        <v>14.9</v>
      </c>
      <c r="F89" s="1024">
        <v>14.4</v>
      </c>
      <c r="G89" s="1024">
        <v>0.5</v>
      </c>
      <c r="H89" s="1018"/>
      <c r="I89" s="859"/>
      <c r="J89" s="859"/>
      <c r="K89" s="859"/>
      <c r="L89" s="859"/>
      <c r="M89" s="859"/>
      <c r="N89" s="859"/>
    </row>
  </sheetData>
  <sheetProtection/>
  <mergeCells count="11"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  <mergeCell ref="C38:C43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9" sqref="G9:M100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5" t="s">
        <v>655</v>
      </c>
      <c r="F1" s="389" t="s">
        <v>776</v>
      </c>
    </row>
    <row r="2" ht="12.75">
      <c r="A2" s="385"/>
    </row>
    <row r="3" ht="12.75">
      <c r="A3" s="385" t="s">
        <v>739</v>
      </c>
    </row>
    <row r="5" spans="1:13" ht="12.75">
      <c r="A5" s="1123" t="s">
        <v>656</v>
      </c>
      <c r="B5" s="1124"/>
      <c r="C5" s="1124"/>
      <c r="D5" s="1124"/>
      <c r="E5" s="1124"/>
      <c r="F5" s="1125"/>
      <c r="G5" s="1125"/>
      <c r="H5" s="1125"/>
      <c r="I5" s="1125"/>
      <c r="J5" s="1125"/>
      <c r="K5" s="1125"/>
      <c r="L5" s="1125"/>
      <c r="M5" s="1125"/>
    </row>
    <row r="6" spans="1:13" ht="13.5" thickBot="1">
      <c r="A6" s="1083"/>
      <c r="B6" s="1126"/>
      <c r="C6" s="1084"/>
      <c r="D6" s="1085"/>
      <c r="E6" s="1126"/>
      <c r="F6" s="1126"/>
      <c r="G6" s="1083"/>
      <c r="H6" s="1083"/>
      <c r="I6" s="1083"/>
      <c r="J6" s="1083"/>
      <c r="K6" s="1083"/>
      <c r="L6" s="1083"/>
      <c r="M6" s="1083"/>
    </row>
    <row r="7" spans="1:13" ht="13.5" thickBot="1">
      <c r="A7" s="1125"/>
      <c r="B7" s="1127"/>
      <c r="C7" s="1128" t="s">
        <v>596</v>
      </c>
      <c r="D7" s="1086"/>
      <c r="E7" s="1129"/>
      <c r="F7" s="1129"/>
      <c r="G7" s="1129"/>
      <c r="H7" s="1130"/>
      <c r="I7" s="1131"/>
      <c r="J7" s="1125"/>
      <c r="K7" s="1125"/>
      <c r="L7" s="1125"/>
      <c r="M7" s="1125"/>
    </row>
    <row r="8" spans="1:13" ht="13.5" thickBot="1">
      <c r="A8" s="1125"/>
      <c r="B8" s="1132"/>
      <c r="C8" s="952"/>
      <c r="D8" s="952"/>
      <c r="E8" s="1125"/>
      <c r="F8" s="1125"/>
      <c r="G8" s="1087" t="s">
        <v>597</v>
      </c>
      <c r="H8" s="1087" t="s">
        <v>597</v>
      </c>
      <c r="I8" s="1133"/>
      <c r="J8" s="1125"/>
      <c r="K8" s="1125"/>
      <c r="L8" s="1125"/>
      <c r="M8" s="1125"/>
    </row>
    <row r="9" spans="1:13" ht="12.75">
      <c r="A9" s="1125"/>
      <c r="B9" s="1134"/>
      <c r="C9" s="1128" t="s">
        <v>598</v>
      </c>
      <c r="D9" s="952"/>
      <c r="E9" s="1135"/>
      <c r="F9" s="1125"/>
      <c r="G9" s="1272"/>
      <c r="H9" s="1088"/>
      <c r="I9" s="1273"/>
      <c r="J9" s="1274"/>
      <c r="K9" s="1274"/>
      <c r="L9" s="1274"/>
      <c r="M9" s="1274"/>
    </row>
    <row r="10" spans="1:13" ht="12.75">
      <c r="A10" s="1125"/>
      <c r="B10" s="1089"/>
      <c r="C10" s="829"/>
      <c r="D10" s="848" t="s">
        <v>578</v>
      </c>
      <c r="E10" s="845"/>
      <c r="F10" s="1083"/>
      <c r="G10" s="1136">
        <v>5.16757397</v>
      </c>
      <c r="H10" s="1137"/>
      <c r="I10" s="1275"/>
      <c r="J10" s="1276"/>
      <c r="K10" s="1276"/>
      <c r="L10" s="1276"/>
      <c r="M10" s="1274"/>
    </row>
    <row r="11" spans="1:13" ht="12.75">
      <c r="A11" s="1125"/>
      <c r="B11" s="1089"/>
      <c r="C11" s="829"/>
      <c r="D11" s="848" t="s">
        <v>579</v>
      </c>
      <c r="E11" s="845"/>
      <c r="F11" s="1083"/>
      <c r="G11" s="1136">
        <v>0.22460693</v>
      </c>
      <c r="H11" s="1137"/>
      <c r="I11" s="1275"/>
      <c r="J11" s="1276"/>
      <c r="K11" s="1276"/>
      <c r="L11" s="1276"/>
      <c r="M11" s="1274"/>
    </row>
    <row r="12" spans="1:13" ht="12.75">
      <c r="A12" s="1125"/>
      <c r="B12" s="1089"/>
      <c r="C12" s="829"/>
      <c r="D12" s="848" t="s">
        <v>580</v>
      </c>
      <c r="E12" s="845"/>
      <c r="F12" s="1090"/>
      <c r="G12" s="1136">
        <v>18.0171204</v>
      </c>
      <c r="H12" s="1137"/>
      <c r="I12" s="1275"/>
      <c r="J12" s="1276"/>
      <c r="K12" s="1276"/>
      <c r="L12" s="1276"/>
      <c r="M12" s="1274"/>
    </row>
    <row r="13" spans="1:13" ht="12.75">
      <c r="A13" s="1125"/>
      <c r="B13" s="1089"/>
      <c r="C13" s="829"/>
      <c r="D13" s="848" t="s">
        <v>646</v>
      </c>
      <c r="E13" s="845"/>
      <c r="F13" s="1090"/>
      <c r="G13" s="1136">
        <v>0.719996</v>
      </c>
      <c r="H13" s="1137"/>
      <c r="I13" s="1275"/>
      <c r="J13" s="1276"/>
      <c r="K13" s="1276"/>
      <c r="L13" s="1276"/>
      <c r="M13" s="1274"/>
    </row>
    <row r="14" spans="1:13" ht="12.75">
      <c r="A14" s="1125"/>
      <c r="B14" s="1089"/>
      <c r="C14" s="829"/>
      <c r="D14" s="1138" t="s">
        <v>647</v>
      </c>
      <c r="E14" s="845"/>
      <c r="F14" s="1090"/>
      <c r="G14" s="1136">
        <v>0</v>
      </c>
      <c r="H14" s="1137"/>
      <c r="I14" s="1275"/>
      <c r="J14" s="1276"/>
      <c r="K14" s="1276"/>
      <c r="L14" s="1276"/>
      <c r="M14" s="1274"/>
    </row>
    <row r="15" spans="1:13" ht="12.75">
      <c r="A15" s="1125"/>
      <c r="B15" s="1089"/>
      <c r="C15" s="845"/>
      <c r="D15" s="1138" t="s">
        <v>442</v>
      </c>
      <c r="E15" s="845"/>
      <c r="F15" s="1083"/>
      <c r="G15" s="1139">
        <v>0</v>
      </c>
      <c r="H15" s="1137">
        <v>24.129297299999998</v>
      </c>
      <c r="I15" s="1275"/>
      <c r="J15" s="1276"/>
      <c r="K15" s="1276"/>
      <c r="L15" s="1276"/>
      <c r="M15" s="1274"/>
    </row>
    <row r="16" spans="1:13" ht="12.75">
      <c r="A16" s="1125"/>
      <c r="B16" s="1089"/>
      <c r="C16" s="1128" t="s">
        <v>581</v>
      </c>
      <c r="D16" s="1138"/>
      <c r="E16" s="845"/>
      <c r="F16" s="1083"/>
      <c r="G16" s="1140"/>
      <c r="H16" s="1141"/>
      <c r="I16" s="1275"/>
      <c r="J16" s="1276"/>
      <c r="K16" s="1276"/>
      <c r="L16" s="1276"/>
      <c r="M16" s="1274"/>
    </row>
    <row r="17" spans="1:13" ht="12.75">
      <c r="A17" s="1125"/>
      <c r="B17" s="1089"/>
      <c r="C17" s="845"/>
      <c r="D17" s="1138" t="s">
        <v>744</v>
      </c>
      <c r="E17" s="845"/>
      <c r="F17" s="1083"/>
      <c r="G17" s="1136">
        <v>0</v>
      </c>
      <c r="H17" s="1137"/>
      <c r="I17" s="1275"/>
      <c r="J17" s="1276"/>
      <c r="K17" s="1276"/>
      <c r="L17" s="1276"/>
      <c r="M17" s="1274"/>
    </row>
    <row r="18" spans="1:13" ht="12.75">
      <c r="A18" s="1125"/>
      <c r="B18" s="1089"/>
      <c r="C18" s="845"/>
      <c r="D18" s="1138" t="s">
        <v>568</v>
      </c>
      <c r="E18" s="845"/>
      <c r="F18" s="1083"/>
      <c r="G18" s="1136">
        <v>0</v>
      </c>
      <c r="H18" s="1137"/>
      <c r="I18" s="1275"/>
      <c r="J18" s="1276"/>
      <c r="K18" s="1276"/>
      <c r="L18" s="1276"/>
      <c r="M18" s="1274"/>
    </row>
    <row r="19" spans="1:13" ht="12.75">
      <c r="A19" s="1125"/>
      <c r="B19" s="1089"/>
      <c r="C19" s="845"/>
      <c r="D19" s="1138" t="s">
        <v>703</v>
      </c>
      <c r="E19" s="845"/>
      <c r="F19" s="1083"/>
      <c r="G19" s="1139">
        <v>0</v>
      </c>
      <c r="H19" s="1137">
        <v>0</v>
      </c>
      <c r="I19" s="1275"/>
      <c r="J19" s="1276"/>
      <c r="K19" s="1276"/>
      <c r="L19" s="1276"/>
      <c r="M19" s="1274"/>
    </row>
    <row r="20" spans="1:13" ht="12.75">
      <c r="A20" s="1125"/>
      <c r="B20" s="1089"/>
      <c r="C20" s="1128" t="s">
        <v>657</v>
      </c>
      <c r="D20" s="1138"/>
      <c r="E20" s="845"/>
      <c r="F20" s="1083"/>
      <c r="G20" s="1140"/>
      <c r="H20" s="1141"/>
      <c r="I20" s="1275"/>
      <c r="J20" s="1276"/>
      <c r="K20" s="1276"/>
      <c r="L20" s="1276"/>
      <c r="M20" s="1274"/>
    </row>
    <row r="21" spans="1:13" ht="12.75">
      <c r="A21" s="1125"/>
      <c r="B21" s="1089"/>
      <c r="C21" s="845"/>
      <c r="D21" s="1138" t="s">
        <v>661</v>
      </c>
      <c r="E21" s="845"/>
      <c r="F21" s="1083"/>
      <c r="G21" s="1136">
        <v>-0.5</v>
      </c>
      <c r="H21" s="1137"/>
      <c r="I21" s="1275"/>
      <c r="J21" s="1276"/>
      <c r="K21" s="1276"/>
      <c r="L21" s="1276"/>
      <c r="M21" s="1274"/>
    </row>
    <row r="22" spans="1:13" ht="12.75">
      <c r="A22" s="1125"/>
      <c r="B22" s="1089"/>
      <c r="C22" s="845"/>
      <c r="D22" s="848" t="s">
        <v>662</v>
      </c>
      <c r="E22" s="845"/>
      <c r="F22" s="1083"/>
      <c r="G22" s="1136">
        <v>23.1</v>
      </c>
      <c r="H22" s="1137"/>
      <c r="I22" s="1275"/>
      <c r="J22" s="1276"/>
      <c r="K22" s="1276"/>
      <c r="L22" s="1276"/>
      <c r="M22" s="1274"/>
    </row>
    <row r="23" spans="1:13" ht="12.75">
      <c r="A23" s="1125"/>
      <c r="B23" s="1089"/>
      <c r="C23" s="845"/>
      <c r="D23" s="1142" t="s">
        <v>663</v>
      </c>
      <c r="E23" s="845"/>
      <c r="F23" s="1090"/>
      <c r="G23" s="1139">
        <v>20.5</v>
      </c>
      <c r="H23" s="1137">
        <v>43.1</v>
      </c>
      <c r="I23" s="1275"/>
      <c r="J23" s="1276"/>
      <c r="K23" s="1276"/>
      <c r="L23" s="1276"/>
      <c r="M23" s="1274"/>
    </row>
    <row r="24" spans="1:13" ht="12.75">
      <c r="A24" s="1125"/>
      <c r="B24" s="1089"/>
      <c r="C24" s="845"/>
      <c r="D24" s="848"/>
      <c r="E24" s="1135"/>
      <c r="F24" s="1090"/>
      <c r="G24" s="1140"/>
      <c r="H24" s="1141"/>
      <c r="I24" s="1275"/>
      <c r="J24" s="1276"/>
      <c r="K24" s="1276"/>
      <c r="L24" s="1276"/>
      <c r="M24" s="1274"/>
    </row>
    <row r="25" spans="1:13" ht="13.5" thickBot="1">
      <c r="A25" s="1125"/>
      <c r="B25" s="1067"/>
      <c r="C25" s="1083"/>
      <c r="D25" s="848"/>
      <c r="E25" s="1143" t="s">
        <v>664</v>
      </c>
      <c r="F25" s="1126"/>
      <c r="G25" s="1144"/>
      <c r="H25" s="1145">
        <v>67.2292973</v>
      </c>
      <c r="I25" s="1275"/>
      <c r="J25" s="1276"/>
      <c r="K25" s="1276"/>
      <c r="L25" s="1276"/>
      <c r="M25" s="1274"/>
    </row>
    <row r="26" spans="1:13" ht="13.5" thickBot="1">
      <c r="A26" s="1125"/>
      <c r="B26" s="1146"/>
      <c r="C26" s="1147"/>
      <c r="D26" s="1147"/>
      <c r="E26" s="1147"/>
      <c r="F26" s="1148"/>
      <c r="G26" s="1277"/>
      <c r="H26" s="1277"/>
      <c r="I26" s="1278"/>
      <c r="J26" s="1276"/>
      <c r="K26" s="1276"/>
      <c r="L26" s="1276"/>
      <c r="M26" s="1274"/>
    </row>
    <row r="27" spans="1:13" ht="13.5" thickBot="1">
      <c r="A27" s="1125"/>
      <c r="B27" s="1126"/>
      <c r="C27" s="1129"/>
      <c r="D27" s="1125"/>
      <c r="E27" s="1143"/>
      <c r="F27" s="1126"/>
      <c r="G27" s="1276"/>
      <c r="H27" s="1276"/>
      <c r="I27" s="1276"/>
      <c r="J27" s="1276"/>
      <c r="K27" s="1276"/>
      <c r="L27" s="1276"/>
      <c r="M27" s="1274"/>
    </row>
    <row r="28" spans="1:13" ht="12.75">
      <c r="A28" s="1125"/>
      <c r="B28" s="1127"/>
      <c r="C28" s="1149" t="s">
        <v>676</v>
      </c>
      <c r="D28" s="1129"/>
      <c r="E28" s="1129"/>
      <c r="F28" s="1150"/>
      <c r="G28" s="1108"/>
      <c r="H28" s="1279"/>
      <c r="I28" s="1279"/>
      <c r="J28" s="1279"/>
      <c r="K28" s="1279"/>
      <c r="L28" s="1279"/>
      <c r="M28" s="1280"/>
    </row>
    <row r="29" spans="1:13" ht="13.5" thickBot="1">
      <c r="A29" s="1125"/>
      <c r="B29" s="1132"/>
      <c r="C29" s="1125"/>
      <c r="D29" s="1128" t="s">
        <v>677</v>
      </c>
      <c r="E29" s="1128"/>
      <c r="F29" s="1083"/>
      <c r="G29" s="1091"/>
      <c r="H29" s="1091"/>
      <c r="I29" s="1276"/>
      <c r="J29" s="1276"/>
      <c r="K29" s="1276"/>
      <c r="L29" s="1276"/>
      <c r="M29" s="1273"/>
    </row>
    <row r="30" spans="1:13" ht="13.5" thickBot="1">
      <c r="A30" s="1125"/>
      <c r="B30" s="1151"/>
      <c r="C30" s="1125"/>
      <c r="D30" s="1090"/>
      <c r="E30" s="845" t="s">
        <v>678</v>
      </c>
      <c r="F30" s="1090"/>
      <c r="G30" s="1092" t="s">
        <v>597</v>
      </c>
      <c r="H30" s="850"/>
      <c r="I30" s="1276"/>
      <c r="J30" s="1276"/>
      <c r="K30" s="1276"/>
      <c r="L30" s="1276"/>
      <c r="M30" s="1273"/>
    </row>
    <row r="31" spans="1:13" ht="12.75">
      <c r="A31" s="1125"/>
      <c r="B31" s="1151"/>
      <c r="C31" s="1125"/>
      <c r="D31" s="1090"/>
      <c r="E31" s="1152" t="s">
        <v>679</v>
      </c>
      <c r="F31" s="1125"/>
      <c r="G31" s="1153">
        <v>-0.3</v>
      </c>
      <c r="H31" s="850"/>
      <c r="I31" s="1276"/>
      <c r="J31" s="1276"/>
      <c r="K31" s="1276"/>
      <c r="L31" s="1276"/>
      <c r="M31" s="1273"/>
    </row>
    <row r="32" spans="1:13" ht="12.75">
      <c r="A32" s="1125"/>
      <c r="B32" s="1151"/>
      <c r="C32" s="1125"/>
      <c r="D32" s="1090"/>
      <c r="E32" s="1152" t="s">
        <v>680</v>
      </c>
      <c r="F32" s="1125"/>
      <c r="G32" s="1153">
        <v>-0.5</v>
      </c>
      <c r="H32" s="850"/>
      <c r="I32" s="1276"/>
      <c r="J32" s="1276"/>
      <c r="K32" s="1276"/>
      <c r="L32" s="1276"/>
      <c r="M32" s="1273"/>
    </row>
    <row r="33" spans="1:13" ht="12.75">
      <c r="A33" s="1083"/>
      <c r="B33" s="1093"/>
      <c r="C33" s="1083"/>
      <c r="D33" s="1090"/>
      <c r="E33" s="1152" t="s">
        <v>528</v>
      </c>
      <c r="F33" s="1083"/>
      <c r="G33" s="1153">
        <v>-0.2</v>
      </c>
      <c r="H33" s="850"/>
      <c r="I33" s="1091"/>
      <c r="J33" s="1091"/>
      <c r="K33" s="1091"/>
      <c r="L33" s="1091"/>
      <c r="M33" s="1094"/>
    </row>
    <row r="34" spans="1:13" ht="13.5" thickBot="1">
      <c r="A34" s="1083"/>
      <c r="B34" s="1093"/>
      <c r="C34" s="1083"/>
      <c r="D34" s="1090"/>
      <c r="E34" s="1154" t="s">
        <v>757</v>
      </c>
      <c r="F34" s="1090"/>
      <c r="G34" s="1155">
        <v>-1</v>
      </c>
      <c r="H34" s="850"/>
      <c r="I34" s="1091"/>
      <c r="J34" s="1091"/>
      <c r="K34" s="1091"/>
      <c r="L34" s="1091"/>
      <c r="M34" s="1094"/>
    </row>
    <row r="35" spans="1:13" ht="13.5" thickTop="1">
      <c r="A35" s="1083"/>
      <c r="B35" s="1093"/>
      <c r="C35" s="1085"/>
      <c r="D35" s="1090"/>
      <c r="E35" s="1090"/>
      <c r="F35" s="1090"/>
      <c r="G35" s="850"/>
      <c r="H35" s="850"/>
      <c r="I35" s="1091"/>
      <c r="J35" s="1091"/>
      <c r="K35" s="1091"/>
      <c r="L35" s="1091"/>
      <c r="M35" s="1094"/>
    </row>
    <row r="36" spans="1:13" ht="51">
      <c r="A36" s="1083"/>
      <c r="B36" s="1067"/>
      <c r="C36" s="1090"/>
      <c r="D36" s="1090"/>
      <c r="E36" s="1156" t="s">
        <v>588</v>
      </c>
      <c r="F36" s="1083"/>
      <c r="G36" s="1281" t="s">
        <v>451</v>
      </c>
      <c r="H36" s="1281" t="s">
        <v>452</v>
      </c>
      <c r="I36" s="1281" t="s">
        <v>589</v>
      </c>
      <c r="J36" s="1281" t="s">
        <v>590</v>
      </c>
      <c r="K36" s="1282" t="s">
        <v>71</v>
      </c>
      <c r="L36" s="1283" t="s">
        <v>591</v>
      </c>
      <c r="M36" s="1094"/>
    </row>
    <row r="37" spans="1:13" ht="12.75">
      <c r="A37" s="1083"/>
      <c r="B37" s="1067"/>
      <c r="C37" s="1090"/>
      <c r="D37" s="1090"/>
      <c r="E37" s="1157" t="s">
        <v>592</v>
      </c>
      <c r="F37" s="1083"/>
      <c r="G37" s="1284" t="s">
        <v>593</v>
      </c>
      <c r="H37" s="1284" t="s">
        <v>593</v>
      </c>
      <c r="I37" s="1284" t="s">
        <v>593</v>
      </c>
      <c r="J37" s="1284" t="s">
        <v>593</v>
      </c>
      <c r="K37" s="1285" t="s">
        <v>593</v>
      </c>
      <c r="L37" s="1284"/>
      <c r="M37" s="1094"/>
    </row>
    <row r="38" spans="1:13" ht="12.75">
      <c r="A38" s="1083"/>
      <c r="B38" s="1067"/>
      <c r="C38" s="1090"/>
      <c r="D38" s="1090"/>
      <c r="E38" s="1158"/>
      <c r="F38" s="1083"/>
      <c r="G38" s="1286">
        <v>10.9</v>
      </c>
      <c r="H38" s="1286">
        <v>10.6</v>
      </c>
      <c r="I38" s="1287">
        <v>0.3000000000000007</v>
      </c>
      <c r="J38" s="1286">
        <v>0.3</v>
      </c>
      <c r="K38" s="1287">
        <v>7.216449660063518E-16</v>
      </c>
      <c r="L38" s="1288"/>
      <c r="M38" s="1094"/>
    </row>
    <row r="39" spans="1:13" ht="12.75">
      <c r="A39" s="1083"/>
      <c r="B39" s="1067"/>
      <c r="C39" s="1090"/>
      <c r="D39" s="1090"/>
      <c r="E39" s="1158"/>
      <c r="F39" s="1083"/>
      <c r="G39" s="1286">
        <v>1.1</v>
      </c>
      <c r="H39" s="1286">
        <v>1.1</v>
      </c>
      <c r="I39" s="1287">
        <v>0</v>
      </c>
      <c r="J39" s="1286">
        <v>0.5</v>
      </c>
      <c r="K39" s="1287">
        <v>-0.5</v>
      </c>
      <c r="L39" s="1158"/>
      <c r="M39" s="1094"/>
    </row>
    <row r="40" spans="1:13" ht="12.75">
      <c r="A40" s="1083"/>
      <c r="B40" s="1067"/>
      <c r="C40" s="1090"/>
      <c r="D40" s="1090"/>
      <c r="E40" s="1158"/>
      <c r="F40" s="1083"/>
      <c r="G40" s="1286">
        <v>2.9</v>
      </c>
      <c r="H40" s="1286">
        <v>2.7</v>
      </c>
      <c r="I40" s="1287">
        <v>0.2</v>
      </c>
      <c r="J40" s="1286">
        <v>0.2</v>
      </c>
      <c r="K40" s="1287">
        <v>-2.7755575615628914E-16</v>
      </c>
      <c r="L40" s="1158"/>
      <c r="M40" s="1094"/>
    </row>
    <row r="41" spans="1:13" ht="12.75">
      <c r="A41" s="1083"/>
      <c r="B41" s="1067"/>
      <c r="C41" s="1090"/>
      <c r="D41" s="1090"/>
      <c r="E41" s="1158"/>
      <c r="F41" s="1083"/>
      <c r="G41" s="1286"/>
      <c r="H41" s="1286"/>
      <c r="I41" s="1287">
        <v>0</v>
      </c>
      <c r="J41" s="1286"/>
      <c r="K41" s="1287">
        <v>0</v>
      </c>
      <c r="L41" s="1158"/>
      <c r="M41" s="1094"/>
    </row>
    <row r="42" spans="1:13" ht="12.75">
      <c r="A42" s="1083"/>
      <c r="B42" s="1067"/>
      <c r="C42" s="1090"/>
      <c r="D42" s="1090"/>
      <c r="E42" s="1158"/>
      <c r="F42" s="1083"/>
      <c r="G42" s="1286"/>
      <c r="H42" s="1286"/>
      <c r="I42" s="1287">
        <v>0</v>
      </c>
      <c r="J42" s="1286"/>
      <c r="K42" s="1287">
        <v>0</v>
      </c>
      <c r="L42" s="1158"/>
      <c r="M42" s="1094"/>
    </row>
    <row r="43" spans="1:13" ht="12.75">
      <c r="A43" s="1083"/>
      <c r="B43" s="1067"/>
      <c r="C43" s="1090"/>
      <c r="D43" s="1090"/>
      <c r="E43" s="1158"/>
      <c r="F43" s="1083"/>
      <c r="G43" s="1286"/>
      <c r="H43" s="1286"/>
      <c r="I43" s="1287">
        <v>0</v>
      </c>
      <c r="J43" s="1286"/>
      <c r="K43" s="1287">
        <v>0</v>
      </c>
      <c r="L43" s="1158"/>
      <c r="M43" s="1094"/>
    </row>
    <row r="44" spans="1:13" ht="12.75">
      <c r="A44" s="1083"/>
      <c r="B44" s="1067"/>
      <c r="C44" s="1090"/>
      <c r="D44" s="1090"/>
      <c r="E44" s="1158"/>
      <c r="F44" s="1083"/>
      <c r="G44" s="1286"/>
      <c r="H44" s="1286"/>
      <c r="I44" s="1287">
        <v>0</v>
      </c>
      <c r="J44" s="1286"/>
      <c r="K44" s="1287">
        <v>0</v>
      </c>
      <c r="L44" s="1158"/>
      <c r="M44" s="1094"/>
    </row>
    <row r="45" spans="1:13" ht="12.75">
      <c r="A45" s="1083"/>
      <c r="B45" s="1067"/>
      <c r="C45" s="1090"/>
      <c r="D45" s="1090"/>
      <c r="E45" s="1158"/>
      <c r="F45" s="1083"/>
      <c r="G45" s="1286"/>
      <c r="H45" s="1286"/>
      <c r="I45" s="1287">
        <v>0</v>
      </c>
      <c r="J45" s="1286"/>
      <c r="K45" s="1287">
        <v>0</v>
      </c>
      <c r="L45" s="1158"/>
      <c r="M45" s="1094"/>
    </row>
    <row r="46" spans="1:13" ht="12.75">
      <c r="A46" s="1083"/>
      <c r="B46" s="1067"/>
      <c r="C46" s="1090"/>
      <c r="D46" s="1090"/>
      <c r="E46" s="1158"/>
      <c r="F46" s="1083"/>
      <c r="G46" s="1286"/>
      <c r="H46" s="1286"/>
      <c r="I46" s="1287">
        <v>0</v>
      </c>
      <c r="J46" s="1286"/>
      <c r="K46" s="1287">
        <v>0</v>
      </c>
      <c r="L46" s="1158"/>
      <c r="M46" s="1094"/>
    </row>
    <row r="47" spans="1:13" ht="12.75">
      <c r="A47" s="1083"/>
      <c r="B47" s="1067"/>
      <c r="C47" s="1090"/>
      <c r="D47" s="1090"/>
      <c r="E47" s="1158"/>
      <c r="F47" s="1083"/>
      <c r="G47" s="1286"/>
      <c r="H47" s="1286"/>
      <c r="I47" s="1287">
        <v>0</v>
      </c>
      <c r="J47" s="1286"/>
      <c r="K47" s="1287">
        <v>0</v>
      </c>
      <c r="L47" s="1158"/>
      <c r="M47" s="1094"/>
    </row>
    <row r="48" spans="1:13" ht="12.75">
      <c r="A48" s="1083"/>
      <c r="B48" s="1067"/>
      <c r="C48" s="1090"/>
      <c r="D48" s="1090"/>
      <c r="E48" s="1158"/>
      <c r="F48" s="1083"/>
      <c r="G48" s="1286"/>
      <c r="H48" s="1286"/>
      <c r="I48" s="1287">
        <v>0</v>
      </c>
      <c r="J48" s="1286"/>
      <c r="K48" s="1287">
        <v>0</v>
      </c>
      <c r="L48" s="1158"/>
      <c r="M48" s="1094"/>
    </row>
    <row r="49" spans="1:13" ht="12.75">
      <c r="A49" s="1083"/>
      <c r="B49" s="1067"/>
      <c r="C49" s="1090"/>
      <c r="D49" s="1090"/>
      <c r="E49" s="1158"/>
      <c r="F49" s="1083"/>
      <c r="G49" s="1286"/>
      <c r="H49" s="1286"/>
      <c r="I49" s="1287">
        <v>0</v>
      </c>
      <c r="J49" s="1286"/>
      <c r="K49" s="1287">
        <v>0</v>
      </c>
      <c r="L49" s="1158"/>
      <c r="M49" s="1094"/>
    </row>
    <row r="50" spans="1:13" ht="12.75">
      <c r="A50" s="1083"/>
      <c r="B50" s="1067"/>
      <c r="C50" s="1090"/>
      <c r="D50" s="1090"/>
      <c r="E50" s="1158"/>
      <c r="F50" s="1083"/>
      <c r="G50" s="1286"/>
      <c r="H50" s="1286"/>
      <c r="I50" s="1287">
        <v>0</v>
      </c>
      <c r="J50" s="1286"/>
      <c r="K50" s="1287">
        <v>0</v>
      </c>
      <c r="L50" s="1289"/>
      <c r="M50" s="1094"/>
    </row>
    <row r="51" spans="1:13" ht="12.75">
      <c r="A51" s="1083"/>
      <c r="B51" s="1067"/>
      <c r="C51" s="1090"/>
      <c r="D51" s="1090"/>
      <c r="E51" s="1159" t="s">
        <v>757</v>
      </c>
      <c r="F51" s="1083"/>
      <c r="G51" s="1160">
        <v>14.9</v>
      </c>
      <c r="H51" s="1160">
        <v>14.4</v>
      </c>
      <c r="I51" s="1160">
        <v>0.5</v>
      </c>
      <c r="J51" s="1160">
        <v>1</v>
      </c>
      <c r="K51" s="1160">
        <v>-0.5</v>
      </c>
      <c r="L51" s="1083"/>
      <c r="M51" s="1094"/>
    </row>
    <row r="52" spans="1:13" ht="12.75">
      <c r="A52" s="1083"/>
      <c r="B52" s="1067"/>
      <c r="C52" s="1090"/>
      <c r="D52" s="1090"/>
      <c r="E52" s="1090"/>
      <c r="F52" s="1090"/>
      <c r="G52" s="1083"/>
      <c r="H52" s="1083"/>
      <c r="I52" s="1083"/>
      <c r="J52" s="1095" t="s">
        <v>332</v>
      </c>
      <c r="K52" s="1095" t="s">
        <v>332</v>
      </c>
      <c r="L52" s="1083"/>
      <c r="M52" s="1094"/>
    </row>
    <row r="53" spans="1:13" ht="13.5" thickBot="1">
      <c r="A53" s="1083"/>
      <c r="B53" s="1067"/>
      <c r="C53" s="1090"/>
      <c r="D53" s="1090"/>
      <c r="E53" s="1090"/>
      <c r="F53" s="1090"/>
      <c r="G53" s="1083"/>
      <c r="H53" s="1083"/>
      <c r="I53" s="1083"/>
      <c r="J53" s="1083"/>
      <c r="K53" s="1083"/>
      <c r="L53" s="1083"/>
      <c r="M53" s="1094"/>
    </row>
    <row r="54" spans="1:13" ht="13.5" thickBot="1">
      <c r="A54" s="1083"/>
      <c r="B54" s="1067"/>
      <c r="C54" s="1161"/>
      <c r="D54" s="1128" t="s">
        <v>333</v>
      </c>
      <c r="E54" s="1103"/>
      <c r="F54" s="1083"/>
      <c r="G54" s="1092" t="s">
        <v>593</v>
      </c>
      <c r="H54" s="1092" t="s">
        <v>593</v>
      </c>
      <c r="I54" s="1083"/>
      <c r="J54" s="1091"/>
      <c r="K54" s="1091"/>
      <c r="L54" s="1091"/>
      <c r="M54" s="1096"/>
    </row>
    <row r="55" spans="1:13" ht="26.25" thickBot="1">
      <c r="A55" s="1083"/>
      <c r="B55" s="1067"/>
      <c r="C55" s="1090"/>
      <c r="D55" s="1083"/>
      <c r="E55" s="1083"/>
      <c r="F55" s="1083"/>
      <c r="G55" s="1097"/>
      <c r="H55" s="1098" t="s">
        <v>334</v>
      </c>
      <c r="I55" s="1083"/>
      <c r="J55" s="1091"/>
      <c r="K55" s="1091"/>
      <c r="L55" s="1091"/>
      <c r="M55" s="1096"/>
    </row>
    <row r="56" spans="1:13" ht="12.75">
      <c r="A56" s="1083"/>
      <c r="B56" s="1067"/>
      <c r="C56" s="1090"/>
      <c r="D56" s="1083"/>
      <c r="E56" s="1103" t="s">
        <v>335</v>
      </c>
      <c r="F56" s="1083"/>
      <c r="G56" s="1153"/>
      <c r="H56" s="1162"/>
      <c r="I56" s="1083"/>
      <c r="J56" s="1091"/>
      <c r="K56" s="1091"/>
      <c r="L56" s="1091"/>
      <c r="M56" s="1096"/>
    </row>
    <row r="57" spans="1:13" ht="13.5" thickBot="1">
      <c r="A57" s="1083"/>
      <c r="B57" s="1067"/>
      <c r="C57" s="1090"/>
      <c r="D57" s="1083"/>
      <c r="E57" s="1103" t="s">
        <v>336</v>
      </c>
      <c r="F57" s="1083"/>
      <c r="G57" s="1153"/>
      <c r="H57" s="1163"/>
      <c r="I57" s="1083"/>
      <c r="J57" s="1091"/>
      <c r="K57" s="1091"/>
      <c r="L57" s="1091"/>
      <c r="M57" s="1096"/>
    </row>
    <row r="58" spans="1:13" ht="13.5" thickBot="1">
      <c r="A58" s="1083"/>
      <c r="B58" s="1067"/>
      <c r="C58" s="1090"/>
      <c r="D58" s="1090"/>
      <c r="E58" s="1154" t="s">
        <v>465</v>
      </c>
      <c r="F58" s="1083"/>
      <c r="G58" s="1164"/>
      <c r="H58" s="1091"/>
      <c r="I58" s="1083"/>
      <c r="J58" s="1091"/>
      <c r="K58" s="1091"/>
      <c r="L58" s="1091"/>
      <c r="M58" s="1096"/>
    </row>
    <row r="59" spans="1:13" ht="14.25" thickBot="1" thickTop="1">
      <c r="A59" s="1083"/>
      <c r="B59" s="1067"/>
      <c r="C59" s="1090"/>
      <c r="D59" s="1090"/>
      <c r="E59" s="1154"/>
      <c r="F59" s="1083"/>
      <c r="G59" s="1091"/>
      <c r="H59" s="1091"/>
      <c r="I59" s="1083"/>
      <c r="J59" s="1091"/>
      <c r="K59" s="1091"/>
      <c r="L59" s="1091"/>
      <c r="M59" s="1096"/>
    </row>
    <row r="60" spans="1:13" ht="66" thickBot="1">
      <c r="A60" s="1083"/>
      <c r="B60" s="1067"/>
      <c r="C60" s="1090"/>
      <c r="D60" s="1599" t="s">
        <v>665</v>
      </c>
      <c r="E60" s="1599"/>
      <c r="F60" s="1083"/>
      <c r="G60" s="1099" t="s">
        <v>757</v>
      </c>
      <c r="H60" s="1100" t="s">
        <v>666</v>
      </c>
      <c r="I60" s="1100" t="s">
        <v>667</v>
      </c>
      <c r="J60" s="1100" t="s">
        <v>668</v>
      </c>
      <c r="K60" s="1100" t="s">
        <v>710</v>
      </c>
      <c r="L60" s="1091"/>
      <c r="M60" s="1094"/>
    </row>
    <row r="61" spans="1:13" ht="13.5" thickBot="1">
      <c r="A61" s="1083"/>
      <c r="B61" s="1093"/>
      <c r="C61" s="1085"/>
      <c r="D61" s="1128"/>
      <c r="E61" s="829"/>
      <c r="F61" s="1090"/>
      <c r="G61" s="1092" t="s">
        <v>593</v>
      </c>
      <c r="H61" s="1092" t="s">
        <v>593</v>
      </c>
      <c r="I61" s="1092" t="s">
        <v>593</v>
      </c>
      <c r="J61" s="1092" t="s">
        <v>593</v>
      </c>
      <c r="K61" s="1092" t="s">
        <v>593</v>
      </c>
      <c r="L61" s="1091"/>
      <c r="M61" s="1094"/>
    </row>
    <row r="62" spans="1:13" ht="12.75">
      <c r="A62" s="1083"/>
      <c r="B62" s="1093"/>
      <c r="C62" s="1085"/>
      <c r="D62" s="845"/>
      <c r="E62" s="829" t="s">
        <v>711</v>
      </c>
      <c r="F62" s="1090"/>
      <c r="G62" s="1165"/>
      <c r="H62" s="1290"/>
      <c r="I62" s="1166"/>
      <c r="J62" s="1166"/>
      <c r="K62" s="1167"/>
      <c r="L62" s="1091"/>
      <c r="M62" s="1094"/>
    </row>
    <row r="63" spans="1:13" ht="13.5" thickBot="1">
      <c r="A63" s="1083"/>
      <c r="B63" s="1093"/>
      <c r="C63" s="1085"/>
      <c r="D63" s="845"/>
      <c r="E63" s="829" t="s">
        <v>632</v>
      </c>
      <c r="F63" s="1090"/>
      <c r="G63" s="1168"/>
      <c r="H63" s="1169"/>
      <c r="I63" s="1170"/>
      <c r="J63" s="1170"/>
      <c r="K63" s="1171"/>
      <c r="L63" s="1091"/>
      <c r="M63" s="1094"/>
    </row>
    <row r="64" spans="1:13" ht="13.5" thickBot="1">
      <c r="A64" s="1083"/>
      <c r="B64" s="1093"/>
      <c r="C64" s="1085"/>
      <c r="D64" s="1090"/>
      <c r="E64" s="1090"/>
      <c r="F64" s="1090"/>
      <c r="G64" s="850"/>
      <c r="H64" s="850"/>
      <c r="I64" s="1091"/>
      <c r="J64" s="1091"/>
      <c r="K64" s="1091"/>
      <c r="L64" s="1091"/>
      <c r="M64" s="1094"/>
    </row>
    <row r="65" spans="1:13" ht="80.25" thickBot="1">
      <c r="A65" s="1083"/>
      <c r="B65" s="1067"/>
      <c r="C65" s="1090"/>
      <c r="D65" s="1599" t="s">
        <v>478</v>
      </c>
      <c r="E65" s="1599"/>
      <c r="F65" s="1083"/>
      <c r="G65" s="1101" t="s">
        <v>757</v>
      </c>
      <c r="H65" s="1102" t="s">
        <v>352</v>
      </c>
      <c r="I65" s="1102" t="s">
        <v>681</v>
      </c>
      <c r="J65" s="1102" t="s">
        <v>682</v>
      </c>
      <c r="K65" s="1102" t="s">
        <v>683</v>
      </c>
      <c r="L65" s="1102" t="s">
        <v>684</v>
      </c>
      <c r="M65" s="1094"/>
    </row>
    <row r="66" spans="1:13" ht="13.5" thickBot="1">
      <c r="A66" s="1083"/>
      <c r="B66" s="1067"/>
      <c r="C66" s="1090"/>
      <c r="D66" s="1103"/>
      <c r="E66" s="1083"/>
      <c r="F66" s="1083"/>
      <c r="G66" s="1092" t="s">
        <v>593</v>
      </c>
      <c r="H66" s="1092" t="s">
        <v>593</v>
      </c>
      <c r="I66" s="1092" t="s">
        <v>593</v>
      </c>
      <c r="J66" s="1092" t="s">
        <v>593</v>
      </c>
      <c r="K66" s="1092" t="s">
        <v>593</v>
      </c>
      <c r="L66" s="1092" t="s">
        <v>593</v>
      </c>
      <c r="M66" s="1094"/>
    </row>
    <row r="67" spans="1:13" ht="12.75">
      <c r="A67" s="1083"/>
      <c r="B67" s="1067"/>
      <c r="C67" s="1090"/>
      <c r="D67" s="1103"/>
      <c r="E67" s="1142" t="s">
        <v>685</v>
      </c>
      <c r="F67" s="1083"/>
      <c r="G67" s="846"/>
      <c r="H67" s="849"/>
      <c r="I67" s="1291"/>
      <c r="J67" s="1291"/>
      <c r="K67" s="1292"/>
      <c r="L67" s="1172"/>
      <c r="M67" s="1094"/>
    </row>
    <row r="68" spans="1:13" ht="12.75">
      <c r="A68" s="1083"/>
      <c r="B68" s="1067"/>
      <c r="C68" s="1090"/>
      <c r="D68" s="1083"/>
      <c r="E68" s="1103" t="s">
        <v>674</v>
      </c>
      <c r="F68" s="1083"/>
      <c r="G68" s="846"/>
      <c r="H68" s="849"/>
      <c r="I68" s="1291"/>
      <c r="J68" s="1291"/>
      <c r="K68" s="1292"/>
      <c r="L68" s="1172"/>
      <c r="M68" s="1094"/>
    </row>
    <row r="69" spans="1:13" ht="12.75">
      <c r="A69" s="1083"/>
      <c r="B69" s="1067"/>
      <c r="C69" s="1090"/>
      <c r="D69" s="1083"/>
      <c r="E69" s="1103" t="s">
        <v>675</v>
      </c>
      <c r="F69" s="1083"/>
      <c r="G69" s="846"/>
      <c r="H69" s="849"/>
      <c r="I69" s="1291"/>
      <c r="J69" s="1291"/>
      <c r="K69" s="1292"/>
      <c r="L69" s="1172"/>
      <c r="M69" s="1094"/>
    </row>
    <row r="70" spans="1:13" ht="12.75">
      <c r="A70" s="1083"/>
      <c r="B70" s="1067"/>
      <c r="C70" s="1090"/>
      <c r="D70" s="1083"/>
      <c r="E70" s="1103" t="s">
        <v>540</v>
      </c>
      <c r="F70" s="1083"/>
      <c r="G70" s="846"/>
      <c r="H70" s="1293"/>
      <c r="I70" s="1294"/>
      <c r="J70" s="1294"/>
      <c r="K70" s="1295"/>
      <c r="L70" s="1173"/>
      <c r="M70" s="1094"/>
    </row>
    <row r="71" spans="1:13" ht="13.5" thickBot="1">
      <c r="A71" s="1083"/>
      <c r="B71" s="1067"/>
      <c r="C71" s="1090"/>
      <c r="D71" s="1090"/>
      <c r="E71" s="1154" t="s">
        <v>541</v>
      </c>
      <c r="F71" s="1083"/>
      <c r="G71" s="1174"/>
      <c r="H71" s="1174"/>
      <c r="I71" s="1174"/>
      <c r="J71" s="1174"/>
      <c r="K71" s="1174"/>
      <c r="L71" s="1174"/>
      <c r="M71" s="1094"/>
    </row>
    <row r="72" spans="1:13" ht="13.5" thickBot="1">
      <c r="A72" s="1083"/>
      <c r="B72" s="1104"/>
      <c r="C72" s="1105"/>
      <c r="D72" s="1105"/>
      <c r="E72" s="1175"/>
      <c r="F72" s="1106"/>
      <c r="G72" s="1175"/>
      <c r="H72" s="1176"/>
      <c r="I72" s="1177"/>
      <c r="J72" s="1177"/>
      <c r="K72" s="1177"/>
      <c r="L72" s="1177"/>
      <c r="M72" s="1178"/>
    </row>
    <row r="73" spans="1:13" ht="13.5" thickBot="1">
      <c r="A73" s="1083"/>
      <c r="B73" s="1083"/>
      <c r="C73" s="1106"/>
      <c r="D73" s="1083"/>
      <c r="E73" s="1083"/>
      <c r="F73" s="1083"/>
      <c r="G73" s="1091"/>
      <c r="H73" s="1091"/>
      <c r="I73" s="1091"/>
      <c r="J73" s="1091"/>
      <c r="K73" s="1091"/>
      <c r="L73" s="1091"/>
      <c r="M73" s="1083"/>
    </row>
    <row r="74" spans="1:13" ht="12.75">
      <c r="A74" s="1083"/>
      <c r="B74" s="1127"/>
      <c r="C74" s="1128" t="s">
        <v>542</v>
      </c>
      <c r="D74" s="1129"/>
      <c r="E74" s="1107"/>
      <c r="F74" s="1129"/>
      <c r="G74" s="1279"/>
      <c r="H74" s="1279"/>
      <c r="I74" s="1108"/>
      <c r="J74" s="1108"/>
      <c r="K74" s="1108"/>
      <c r="L74" s="1108"/>
      <c r="M74" s="1109"/>
    </row>
    <row r="75" spans="1:13" ht="13.5" thickBot="1">
      <c r="A75" s="1083"/>
      <c r="B75" s="1132"/>
      <c r="C75" s="1161"/>
      <c r="D75" s="1125"/>
      <c r="E75" s="1110"/>
      <c r="F75" s="1125"/>
      <c r="G75" s="1276"/>
      <c r="H75" s="1276"/>
      <c r="I75" s="1091"/>
      <c r="J75" s="1091"/>
      <c r="K75" s="1091"/>
      <c r="L75" s="1091"/>
      <c r="M75" s="1094"/>
    </row>
    <row r="76" spans="1:13" ht="80.25" thickBot="1">
      <c r="A76" s="1083"/>
      <c r="B76" s="1067"/>
      <c r="C76" s="1090"/>
      <c r="D76" s="1599" t="s">
        <v>529</v>
      </c>
      <c r="E76" s="1599"/>
      <c r="F76" s="1083"/>
      <c r="G76" s="1101" t="s">
        <v>757</v>
      </c>
      <c r="H76" s="1102" t="s">
        <v>352</v>
      </c>
      <c r="I76" s="1102" t="s">
        <v>681</v>
      </c>
      <c r="J76" s="1102" t="s">
        <v>682</v>
      </c>
      <c r="K76" s="1102" t="s">
        <v>683</v>
      </c>
      <c r="L76" s="1102" t="s">
        <v>684</v>
      </c>
      <c r="M76" s="1094"/>
    </row>
    <row r="77" spans="1:13" ht="13.5" thickBot="1">
      <c r="A77" s="1083"/>
      <c r="B77" s="1067"/>
      <c r="C77" s="1090"/>
      <c r="D77" s="1103"/>
      <c r="E77" s="1083"/>
      <c r="F77" s="1083"/>
      <c r="G77" s="1092" t="s">
        <v>593</v>
      </c>
      <c r="H77" s="1092" t="s">
        <v>593</v>
      </c>
      <c r="I77" s="1092" t="s">
        <v>593</v>
      </c>
      <c r="J77" s="1092" t="s">
        <v>593</v>
      </c>
      <c r="K77" s="1092" t="s">
        <v>593</v>
      </c>
      <c r="L77" s="1092" t="s">
        <v>593</v>
      </c>
      <c r="M77" s="1094"/>
    </row>
    <row r="78" spans="1:13" ht="12.75">
      <c r="A78" s="1083"/>
      <c r="B78" s="1067"/>
      <c r="C78" s="1090"/>
      <c r="D78" s="1083"/>
      <c r="E78" s="1103" t="s">
        <v>674</v>
      </c>
      <c r="F78" s="1083"/>
      <c r="G78" s="1179"/>
      <c r="H78" s="1180"/>
      <c r="I78" s="1296"/>
      <c r="J78" s="1296"/>
      <c r="K78" s="1297"/>
      <c r="L78" s="1181"/>
      <c r="M78" s="1094"/>
    </row>
    <row r="79" spans="1:13" ht="12.75">
      <c r="A79" s="1083"/>
      <c r="B79" s="1067"/>
      <c r="C79" s="1090"/>
      <c r="D79" s="1083"/>
      <c r="E79" s="1103" t="s">
        <v>675</v>
      </c>
      <c r="F79" s="1083"/>
      <c r="G79" s="1179"/>
      <c r="H79" s="1180"/>
      <c r="I79" s="1296"/>
      <c r="J79" s="1296"/>
      <c r="K79" s="1297"/>
      <c r="L79" s="1181"/>
      <c r="M79" s="1094"/>
    </row>
    <row r="80" spans="1:13" ht="12.75">
      <c r="A80" s="1083"/>
      <c r="B80" s="1067"/>
      <c r="C80" s="1090"/>
      <c r="D80" s="1083"/>
      <c r="E80" s="1103" t="s">
        <v>540</v>
      </c>
      <c r="F80" s="1083"/>
      <c r="G80" s="1179"/>
      <c r="H80" s="1298"/>
      <c r="I80" s="1299"/>
      <c r="J80" s="1299"/>
      <c r="K80" s="1300"/>
      <c r="L80" s="1182"/>
      <c r="M80" s="1094"/>
    </row>
    <row r="81" spans="1:13" ht="13.5" thickBot="1">
      <c r="A81" s="1083"/>
      <c r="B81" s="1067"/>
      <c r="C81" s="1090"/>
      <c r="D81" s="1090"/>
      <c r="E81" s="1154" t="s">
        <v>757</v>
      </c>
      <c r="F81" s="1083"/>
      <c r="G81" s="1183"/>
      <c r="H81" s="1183"/>
      <c r="I81" s="1183"/>
      <c r="J81" s="1183"/>
      <c r="K81" s="1183"/>
      <c r="L81" s="1183"/>
      <c r="M81" s="1094"/>
    </row>
    <row r="82" spans="1:13" ht="13.5" thickBot="1">
      <c r="A82" s="1083"/>
      <c r="B82" s="1067"/>
      <c r="C82" s="1090"/>
      <c r="D82" s="1090"/>
      <c r="E82" s="1111"/>
      <c r="F82" s="1083"/>
      <c r="G82" s="1112"/>
      <c r="H82" s="1112"/>
      <c r="I82" s="1091"/>
      <c r="J82" s="1091"/>
      <c r="K82" s="1091"/>
      <c r="L82" s="1091"/>
      <c r="M82" s="1094"/>
    </row>
    <row r="83" spans="1:13" ht="13.5" thickBot="1">
      <c r="A83" s="1083"/>
      <c r="B83" s="1067"/>
      <c r="C83" s="1090"/>
      <c r="D83" s="1184" t="s">
        <v>724</v>
      </c>
      <c r="E83" s="1083"/>
      <c r="F83" s="1083"/>
      <c r="G83" s="1185">
        <v>0.4</v>
      </c>
      <c r="H83" s="1186"/>
      <c r="I83" s="1187">
        <v>0.4</v>
      </c>
      <c r="J83" s="1186"/>
      <c r="K83" s="1188"/>
      <c r="L83" s="1301"/>
      <c r="M83" s="1094"/>
    </row>
    <row r="84" spans="1:13" ht="13.5" thickBot="1">
      <c r="A84" s="1083"/>
      <c r="B84" s="1104"/>
      <c r="C84" s="1105"/>
      <c r="D84" s="1105"/>
      <c r="E84" s="1189"/>
      <c r="F84" s="1106"/>
      <c r="G84" s="1113"/>
      <c r="H84" s="1114"/>
      <c r="I84" s="1113"/>
      <c r="J84" s="1113"/>
      <c r="K84" s="1113"/>
      <c r="L84" s="1113"/>
      <c r="M84" s="1115"/>
    </row>
    <row r="85" spans="1:13" ht="13.5" thickBot="1">
      <c r="A85" s="1103"/>
      <c r="B85" s="1103"/>
      <c r="C85" s="1097"/>
      <c r="D85" s="1090"/>
      <c r="E85" s="1103"/>
      <c r="F85" s="1083"/>
      <c r="G85" s="1091"/>
      <c r="H85" s="1112"/>
      <c r="I85" s="1091"/>
      <c r="J85" s="1091"/>
      <c r="K85" s="1091"/>
      <c r="L85" s="1091"/>
      <c r="M85" s="1083"/>
    </row>
    <row r="86" spans="1:13" ht="13.5" thickBot="1">
      <c r="A86" s="1083"/>
      <c r="B86" s="1116"/>
      <c r="C86" s="1149" t="s">
        <v>621</v>
      </c>
      <c r="D86" s="1117"/>
      <c r="E86" s="1190"/>
      <c r="F86" s="1118"/>
      <c r="G86" s="1119"/>
      <c r="H86" s="1119"/>
      <c r="I86" s="1120"/>
      <c r="J86" s="1091"/>
      <c r="K86" s="1091"/>
      <c r="L86" s="1091"/>
      <c r="M86" s="1083"/>
    </row>
    <row r="87" spans="1:13" ht="13.5" thickBot="1">
      <c r="A87" s="1083"/>
      <c r="B87" s="1067"/>
      <c r="C87" s="1090"/>
      <c r="D87" s="1090"/>
      <c r="E87" s="1154"/>
      <c r="F87" s="1083"/>
      <c r="G87" s="1092" t="s">
        <v>593</v>
      </c>
      <c r="H87" s="1112"/>
      <c r="I87" s="1096"/>
      <c r="J87" s="1091"/>
      <c r="K87" s="1091"/>
      <c r="L87" s="1091"/>
      <c r="M87" s="1083"/>
    </row>
    <row r="88" spans="1:13" ht="13.5" thickBot="1">
      <c r="A88" s="1083"/>
      <c r="B88" s="1067"/>
      <c r="C88" s="1090"/>
      <c r="D88" s="1128" t="s">
        <v>393</v>
      </c>
      <c r="E88" s="1154"/>
      <c r="F88" s="1083"/>
      <c r="G88" s="1191"/>
      <c r="H88" s="1091"/>
      <c r="I88" s="1096"/>
      <c r="J88" s="1091"/>
      <c r="K88" s="1091"/>
      <c r="L88" s="1091"/>
      <c r="M88" s="1083"/>
    </row>
    <row r="89" spans="1:13" ht="13.5" thickBot="1">
      <c r="A89" s="1083"/>
      <c r="B89" s="1067"/>
      <c r="C89" s="1090"/>
      <c r="D89" s="1128" t="s">
        <v>633</v>
      </c>
      <c r="E89" s="1154"/>
      <c r="F89" s="1083"/>
      <c r="G89" s="1191"/>
      <c r="H89" s="1091"/>
      <c r="I89" s="1096"/>
      <c r="J89" s="1091"/>
      <c r="K89" s="1091"/>
      <c r="L89" s="1091"/>
      <c r="M89" s="1083"/>
    </row>
    <row r="90" spans="1:13" ht="13.5" thickBot="1">
      <c r="A90" s="1083"/>
      <c r="B90" s="1067"/>
      <c r="C90" s="1090"/>
      <c r="D90" s="1090"/>
      <c r="E90" s="1111"/>
      <c r="F90" s="1083"/>
      <c r="G90" s="1091"/>
      <c r="H90" s="1091"/>
      <c r="I90" s="1096"/>
      <c r="J90" s="1091"/>
      <c r="K90" s="1091"/>
      <c r="L90" s="1091"/>
      <c r="M90" s="1083"/>
    </row>
    <row r="91" spans="1:13" ht="13.5" thickBot="1">
      <c r="A91" s="1083"/>
      <c r="B91" s="1067"/>
      <c r="C91" s="1090"/>
      <c r="D91" s="1090"/>
      <c r="E91" s="1184"/>
      <c r="F91" s="1083"/>
      <c r="G91" s="1092" t="s">
        <v>593</v>
      </c>
      <c r="H91" s="1092" t="s">
        <v>634</v>
      </c>
      <c r="I91" s="1121"/>
      <c r="J91" s="1122"/>
      <c r="K91" s="1122"/>
      <c r="L91" s="1091"/>
      <c r="M91" s="1083"/>
    </row>
    <row r="92" spans="1:13" ht="13.5" thickBot="1">
      <c r="A92" s="1083"/>
      <c r="B92" s="1067"/>
      <c r="C92" s="1090"/>
      <c r="D92" s="1128" t="s">
        <v>727</v>
      </c>
      <c r="E92" s="1083"/>
      <c r="F92" s="1083"/>
      <c r="G92" s="1192"/>
      <c r="H92" s="1193"/>
      <c r="I92" s="1194"/>
      <c r="J92" s="1195"/>
      <c r="K92" s="1195"/>
      <c r="L92" s="1091"/>
      <c r="M92" s="1083"/>
    </row>
    <row r="93" spans="1:13" ht="14.25" thickBot="1" thickTop="1">
      <c r="A93" s="1083"/>
      <c r="B93" s="1093"/>
      <c r="C93" s="1083"/>
      <c r="D93" s="1196"/>
      <c r="E93" s="1083"/>
      <c r="F93" s="1083"/>
      <c r="G93" s="1083"/>
      <c r="H93" s="1083"/>
      <c r="I93" s="1194"/>
      <c r="J93" s="1197"/>
      <c r="K93" s="1197"/>
      <c r="L93" s="1091"/>
      <c r="M93" s="1083"/>
    </row>
    <row r="94" spans="1:13" ht="13.5" thickBot="1">
      <c r="A94" s="1083"/>
      <c r="B94" s="1067"/>
      <c r="C94" s="1090"/>
      <c r="D94" s="1128" t="s">
        <v>728</v>
      </c>
      <c r="E94" s="1083"/>
      <c r="F94" s="1083"/>
      <c r="G94" s="1092" t="s">
        <v>593</v>
      </c>
      <c r="H94" s="1092" t="s">
        <v>634</v>
      </c>
      <c r="I94" s="1198"/>
      <c r="J94" s="1197"/>
      <c r="K94" s="1197"/>
      <c r="L94" s="1091"/>
      <c r="M94" s="1083"/>
    </row>
    <row r="95" spans="1:13" ht="12.75">
      <c r="A95" s="1083"/>
      <c r="B95" s="1067"/>
      <c r="C95" s="1090"/>
      <c r="D95" s="1083"/>
      <c r="E95" s="1103" t="s">
        <v>751</v>
      </c>
      <c r="F95" s="1083"/>
      <c r="G95" s="1153"/>
      <c r="H95" s="1153"/>
      <c r="I95" s="1194"/>
      <c r="J95" s="1195"/>
      <c r="K95" s="1195"/>
      <c r="L95" s="1091"/>
      <c r="M95" s="1083"/>
    </row>
    <row r="96" spans="1:13" ht="12.75">
      <c r="A96" s="1083"/>
      <c r="B96" s="1067"/>
      <c r="C96" s="1090"/>
      <c r="D96" s="1083"/>
      <c r="E96" s="1103" t="s">
        <v>750</v>
      </c>
      <c r="F96" s="1083"/>
      <c r="G96" s="1153"/>
      <c r="H96" s="1153"/>
      <c r="I96" s="1194"/>
      <c r="J96" s="1195"/>
      <c r="K96" s="1195"/>
      <c r="L96" s="1091"/>
      <c r="M96" s="1083"/>
    </row>
    <row r="97" spans="1:13" ht="13.5" thickBot="1">
      <c r="A97" s="1083"/>
      <c r="B97" s="1067"/>
      <c r="C97" s="1090"/>
      <c r="D97" s="1083"/>
      <c r="E97" s="1103" t="s">
        <v>729</v>
      </c>
      <c r="F97" s="1083"/>
      <c r="G97" s="1153"/>
      <c r="H97" s="1163"/>
      <c r="I97" s="1194"/>
      <c r="J97" s="1195"/>
      <c r="K97" s="1195"/>
      <c r="L97" s="1091"/>
      <c r="M97" s="1083"/>
    </row>
    <row r="98" spans="1:13" ht="12.75">
      <c r="A98" s="1083"/>
      <c r="B98" s="1067"/>
      <c r="C98" s="1090"/>
      <c r="D98" s="1083"/>
      <c r="E98" s="1103" t="s">
        <v>730</v>
      </c>
      <c r="F98" s="1083"/>
      <c r="G98" s="1199"/>
      <c r="H98" s="1200"/>
      <c r="I98" s="1194"/>
      <c r="J98" s="1195"/>
      <c r="K98" s="1197"/>
      <c r="L98" s="1091"/>
      <c r="M98" s="1083"/>
    </row>
    <row r="99" spans="1:13" ht="13.5" thickBot="1">
      <c r="A99" s="1083"/>
      <c r="B99" s="1067"/>
      <c r="C99" s="1090"/>
      <c r="D99" s="1090"/>
      <c r="E99" s="1143" t="s">
        <v>635</v>
      </c>
      <c r="F99" s="1083"/>
      <c r="G99" s="1164"/>
      <c r="H99" s="1164"/>
      <c r="I99" s="1201"/>
      <c r="J99" s="847"/>
      <c r="K99" s="847"/>
      <c r="L99" s="1091"/>
      <c r="M99" s="1083"/>
    </row>
    <row r="100" spans="1:13" ht="14.25" thickBot="1" thickTop="1">
      <c r="A100" s="1083"/>
      <c r="B100" s="1104"/>
      <c r="C100" s="1105"/>
      <c r="D100" s="1105"/>
      <c r="E100" s="1105"/>
      <c r="F100" s="1105"/>
      <c r="G100" s="1106"/>
      <c r="H100" s="1106"/>
      <c r="I100" s="1115"/>
      <c r="J100" s="1083"/>
      <c r="K100" s="1083"/>
      <c r="L100" s="1083"/>
      <c r="M100" s="1083"/>
    </row>
    <row r="101" spans="1:13" ht="12.75">
      <c r="A101" s="1083"/>
      <c r="B101" s="950"/>
      <c r="C101" s="950"/>
      <c r="D101" s="950"/>
      <c r="E101" s="950"/>
      <c r="F101" s="950"/>
      <c r="G101" s="1083"/>
      <c r="H101" s="1083"/>
      <c r="I101" s="1083"/>
      <c r="J101" s="1083"/>
      <c r="K101" s="1083"/>
      <c r="L101" s="1083"/>
      <c r="M101" s="1083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A16">
      <selection activeCell="S65" sqref="S65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6" customFormat="1" ht="12.75">
      <c r="A1" s="356" t="s">
        <v>253</v>
      </c>
    </row>
    <row r="2" ht="12.75">
      <c r="B2" s="389" t="s">
        <v>776</v>
      </c>
    </row>
    <row r="3" spans="1:50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06"/>
      <c r="Q3" s="206"/>
      <c r="R3" s="206"/>
      <c r="S3" s="206"/>
      <c r="T3" s="206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</row>
    <row r="4" spans="1:30" ht="12.75">
      <c r="A4" s="93"/>
      <c r="B4" s="93"/>
      <c r="C4" s="214" t="s">
        <v>76</v>
      </c>
      <c r="D4" s="214"/>
      <c r="E4" s="214"/>
      <c r="F4" s="214"/>
      <c r="G4" s="214"/>
      <c r="H4" s="214"/>
      <c r="I4" s="214"/>
      <c r="J4" s="214"/>
      <c r="K4" s="214"/>
      <c r="L4" s="214"/>
      <c r="M4" s="214" t="s">
        <v>194</v>
      </c>
      <c r="N4" s="214"/>
      <c r="O4" s="214"/>
      <c r="P4" s="214"/>
      <c r="Q4" s="214"/>
      <c r="R4" s="214"/>
      <c r="S4" s="214"/>
      <c r="T4" s="214"/>
      <c r="U4" s="214"/>
      <c r="V4" s="93"/>
      <c r="W4" s="93"/>
      <c r="X4" s="93"/>
      <c r="Y4" s="93"/>
      <c r="Z4" s="93"/>
      <c r="AA4" s="93"/>
      <c r="AB4" s="93"/>
      <c r="AC4" s="93"/>
      <c r="AD4" s="93"/>
    </row>
    <row r="5" spans="1:30" ht="12.75">
      <c r="A5" s="93"/>
      <c r="B5" s="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93"/>
      <c r="W5" s="93"/>
      <c r="X5" s="93"/>
      <c r="Y5" s="93"/>
      <c r="Z5" s="93"/>
      <c r="AA5" s="93"/>
      <c r="AB5" s="93"/>
      <c r="AC5" s="93"/>
      <c r="AD5" s="93"/>
    </row>
    <row r="6" spans="1:30" ht="12.75">
      <c r="A6" s="93"/>
      <c r="B6" s="93"/>
      <c r="C6" s="214"/>
      <c r="D6" s="214"/>
      <c r="E6" s="214" t="s">
        <v>742</v>
      </c>
      <c r="F6" s="214" t="s">
        <v>743</v>
      </c>
      <c r="G6" s="214"/>
      <c r="H6" s="214" t="s">
        <v>739</v>
      </c>
      <c r="I6" s="214" t="s">
        <v>609</v>
      </c>
      <c r="J6" s="214" t="s">
        <v>610</v>
      </c>
      <c r="K6" s="214"/>
      <c r="L6" s="214"/>
      <c r="M6" s="214"/>
      <c r="N6" s="214"/>
      <c r="O6" s="214"/>
      <c r="P6" s="214" t="s">
        <v>742</v>
      </c>
      <c r="Q6" s="214" t="s">
        <v>743</v>
      </c>
      <c r="R6" s="214" t="s">
        <v>739</v>
      </c>
      <c r="S6" s="214" t="s">
        <v>609</v>
      </c>
      <c r="T6" s="214" t="s">
        <v>610</v>
      </c>
      <c r="U6" s="214"/>
      <c r="V6" s="93"/>
      <c r="W6" s="93"/>
      <c r="X6" s="93"/>
      <c r="Y6" s="93"/>
      <c r="Z6" s="93"/>
      <c r="AA6" s="93"/>
      <c r="AB6" s="93"/>
      <c r="AC6" s="93"/>
      <c r="AD6" s="93"/>
    </row>
    <row r="7" spans="1:30" ht="12.75">
      <c r="A7" s="93"/>
      <c r="B7" s="93"/>
      <c r="C7" s="214"/>
      <c r="D7" s="214"/>
      <c r="E7" s="217"/>
      <c r="F7" s="217"/>
      <c r="G7" s="217"/>
      <c r="H7" s="217"/>
      <c r="I7" s="217"/>
      <c r="J7" s="217"/>
      <c r="K7" s="217"/>
      <c r="L7" s="214"/>
      <c r="M7" s="214" t="s">
        <v>312</v>
      </c>
      <c r="N7" s="214"/>
      <c r="O7" s="214"/>
      <c r="P7" s="1225">
        <f>'Allowed revenue -DPCR4'!D3</f>
        <v>695.6</v>
      </c>
      <c r="Q7" s="1225">
        <f>'Allowed revenue -DPCR4'!E3</f>
        <v>717.4</v>
      </c>
      <c r="R7" s="1225">
        <f>'Allowed revenue -DPCR4'!F3</f>
        <v>734</v>
      </c>
      <c r="S7" s="1225">
        <f>'Allowed revenue -DPCR4'!G3</f>
        <v>747</v>
      </c>
      <c r="T7" s="1225">
        <f>'Allowed revenue -DPCR4'!H3</f>
        <v>756.3</v>
      </c>
      <c r="U7" s="214"/>
      <c r="V7" s="93"/>
      <c r="W7" s="93"/>
      <c r="X7" s="93"/>
      <c r="Y7" s="93"/>
      <c r="Z7" s="93"/>
      <c r="AA7" s="93"/>
      <c r="AB7" s="93"/>
      <c r="AC7" s="93"/>
      <c r="AD7" s="93"/>
    </row>
    <row r="8" spans="1:30" ht="12.75">
      <c r="A8" s="93"/>
      <c r="B8" s="93"/>
      <c r="C8" s="214" t="s">
        <v>313</v>
      </c>
      <c r="D8" s="214"/>
      <c r="E8" s="218">
        <f>P33</f>
        <v>175.5943029626859</v>
      </c>
      <c r="F8" s="218">
        <f>Q33</f>
        <v>177.8770289012008</v>
      </c>
      <c r="G8" s="218"/>
      <c r="H8" s="218">
        <f>R33</f>
        <v>180.3353491426784</v>
      </c>
      <c r="I8" s="218">
        <f>S33</f>
        <v>182.26688647526797</v>
      </c>
      <c r="J8" s="218">
        <f>T33</f>
        <v>184.54961241378288</v>
      </c>
      <c r="K8" s="217"/>
      <c r="L8" s="214"/>
      <c r="M8" s="214" t="s">
        <v>314</v>
      </c>
      <c r="N8" s="214"/>
      <c r="O8" s="214"/>
      <c r="P8" s="1225">
        <f>'Allowed revenue -DPCR4'!D4</f>
        <v>72.1</v>
      </c>
      <c r="Q8" s="1225">
        <f>'Allowed revenue -DPCR4'!E4</f>
        <v>72.1</v>
      </c>
      <c r="R8" s="1225">
        <f>'Allowed revenue -DPCR4'!F4</f>
        <v>72.1</v>
      </c>
      <c r="S8" s="1225">
        <f>'Allowed revenue -DPCR4'!G4</f>
        <v>72.1</v>
      </c>
      <c r="T8" s="1225">
        <f>'Allowed revenue -DPCR4'!H4</f>
        <v>72.1</v>
      </c>
      <c r="U8" s="217"/>
      <c r="V8" s="93"/>
      <c r="W8" s="93"/>
      <c r="X8" s="93"/>
      <c r="Y8" s="93"/>
      <c r="Z8" s="93"/>
      <c r="AA8" s="93"/>
      <c r="AB8" s="93"/>
      <c r="AC8" s="93"/>
      <c r="AD8" s="93"/>
    </row>
    <row r="9" spans="1:30" ht="12.75">
      <c r="A9" s="93"/>
      <c r="B9" s="93"/>
      <c r="C9" s="214"/>
      <c r="D9" s="214"/>
      <c r="E9" s="220"/>
      <c r="F9" s="220"/>
      <c r="G9" s="220"/>
      <c r="H9" s="220"/>
      <c r="I9" s="220"/>
      <c r="J9" s="220"/>
      <c r="K9" s="214"/>
      <c r="L9" s="214"/>
      <c r="M9" s="214" t="s">
        <v>184</v>
      </c>
      <c r="N9" s="214"/>
      <c r="O9" s="214"/>
      <c r="P9" s="1225">
        <f>'Allowed revenue -DPCR4'!D5</f>
        <v>-50.3</v>
      </c>
      <c r="Q9" s="1225">
        <f>'Allowed revenue -DPCR4'!E5</f>
        <v>-55.5</v>
      </c>
      <c r="R9" s="1225">
        <f>'Allowed revenue -DPCR4'!F5</f>
        <v>-59.1</v>
      </c>
      <c r="S9" s="1225">
        <f>'Allowed revenue -DPCR4'!G5</f>
        <v>-62.7</v>
      </c>
      <c r="T9" s="1225">
        <f>'Allowed revenue -DPCR4'!H5</f>
        <v>-66.3</v>
      </c>
      <c r="U9" s="217"/>
      <c r="V9" s="93"/>
      <c r="W9" s="93"/>
      <c r="X9" s="93"/>
      <c r="Y9" s="93"/>
      <c r="Z9" s="93"/>
      <c r="AA9" s="93"/>
      <c r="AB9" s="93"/>
      <c r="AC9" s="93"/>
      <c r="AD9" s="93"/>
    </row>
    <row r="10" spans="1:30" ht="12.75">
      <c r="A10" s="93"/>
      <c r="B10" s="93"/>
      <c r="C10" s="214" t="s">
        <v>85</v>
      </c>
      <c r="D10" s="214"/>
      <c r="E10" s="220">
        <f>P14+(1-0.577)*P16</f>
        <v>59.2912</v>
      </c>
      <c r="F10" s="220">
        <f>Q14+(1-0.577)*Q16</f>
        <v>61.375800000000005</v>
      </c>
      <c r="G10" s="220"/>
      <c r="H10" s="220">
        <f>R14+(1-0.577)*R16</f>
        <v>62.260400000000004</v>
      </c>
      <c r="I10" s="220">
        <f>S14+(1-0.577)*S16</f>
        <v>61.845</v>
      </c>
      <c r="J10" s="220">
        <f>T14+(1-0.577)*T16</f>
        <v>61.5296</v>
      </c>
      <c r="K10" s="214"/>
      <c r="L10" s="214"/>
      <c r="M10" s="214" t="s">
        <v>86</v>
      </c>
      <c r="N10" s="214"/>
      <c r="O10" s="214"/>
      <c r="P10" s="1225">
        <f>'Allowed revenue -DPCR4'!D6</f>
        <v>717.4</v>
      </c>
      <c r="Q10" s="1225">
        <f>'Allowed revenue -DPCR4'!E6</f>
        <v>734</v>
      </c>
      <c r="R10" s="1225">
        <f>'Allowed revenue -DPCR4'!F6</f>
        <v>747</v>
      </c>
      <c r="S10" s="1225">
        <f>'Allowed revenue -DPCR4'!G6</f>
        <v>756.3</v>
      </c>
      <c r="T10" s="1225">
        <f>'Allowed revenue -DPCR4'!H6</f>
        <v>762.1</v>
      </c>
      <c r="U10" s="214"/>
      <c r="V10" s="93"/>
      <c r="W10" s="93"/>
      <c r="X10" s="93"/>
      <c r="Y10" s="93"/>
      <c r="Z10" s="93"/>
      <c r="AA10" s="93"/>
      <c r="AB10" s="93"/>
      <c r="AC10" s="93"/>
      <c r="AD10" s="93"/>
    </row>
    <row r="11" spans="1:30" ht="12.75">
      <c r="A11" s="93"/>
      <c r="B11" s="93"/>
      <c r="C11" s="214" t="s">
        <v>88</v>
      </c>
      <c r="D11" s="214"/>
      <c r="E11" s="218">
        <f>P20</f>
        <v>1.7</v>
      </c>
      <c r="F11" s="218">
        <f>Q20</f>
        <v>1.7</v>
      </c>
      <c r="G11" s="218">
        <f>R20</f>
        <v>1.7</v>
      </c>
      <c r="H11" s="218">
        <f>R20</f>
        <v>1.7</v>
      </c>
      <c r="I11" s="218">
        <f>S20</f>
        <v>1.7</v>
      </c>
      <c r="J11" s="218">
        <f>T20</f>
        <v>1.7</v>
      </c>
      <c r="K11" s="214"/>
      <c r="L11" s="214"/>
      <c r="M11" s="214" t="s">
        <v>89</v>
      </c>
      <c r="N11" s="214"/>
      <c r="O11" s="214"/>
      <c r="P11" s="1225">
        <f>'Allowed revenue -DPCR4'!D7</f>
        <v>695.6</v>
      </c>
      <c r="Q11" s="1225"/>
      <c r="R11" s="1225" t="str">
        <f>'Allowed revenue -DPCR4'!F7</f>
        <v> </v>
      </c>
      <c r="S11" s="1225"/>
      <c r="T11" s="1225">
        <f>'Allowed revenue -DPCR4'!H7</f>
        <v>581.8</v>
      </c>
      <c r="U11" s="220"/>
      <c r="V11" s="93"/>
      <c r="W11" s="93"/>
      <c r="X11" s="93"/>
      <c r="Y11" s="93"/>
      <c r="Z11" s="93"/>
      <c r="AA11" s="93"/>
      <c r="AB11" s="93"/>
      <c r="AC11" s="93"/>
      <c r="AD11" s="93"/>
    </row>
    <row r="12" spans="1:30" ht="12.75">
      <c r="A12" s="93"/>
      <c r="B12" s="93"/>
      <c r="C12" s="214" t="s">
        <v>90</v>
      </c>
      <c r="D12" s="214"/>
      <c r="E12" s="218">
        <f>P21</f>
        <v>1.6</v>
      </c>
      <c r="F12" s="218"/>
      <c r="G12" s="218"/>
      <c r="H12" s="218"/>
      <c r="I12" s="218"/>
      <c r="J12" s="218"/>
      <c r="K12" s="217"/>
      <c r="L12" s="214"/>
      <c r="M12" s="214" t="s">
        <v>42</v>
      </c>
      <c r="N12" s="214"/>
      <c r="O12" s="214"/>
      <c r="P12" s="1225"/>
      <c r="Q12" s="1225" t="str">
        <f>'Allowed revenue -DPCR4'!E8</f>
        <v> </v>
      </c>
      <c r="R12" s="1225"/>
      <c r="S12" s="1225"/>
      <c r="T12" s="1225">
        <f>'Allowed revenue -DPCR4'!H8</f>
        <v>113.7</v>
      </c>
      <c r="U12" s="220"/>
      <c r="V12" s="93"/>
      <c r="W12" s="93"/>
      <c r="X12" s="93"/>
      <c r="Y12" s="93"/>
      <c r="Z12" s="93"/>
      <c r="AA12" s="93"/>
      <c r="AB12" s="93"/>
      <c r="AC12" s="93"/>
      <c r="AD12" s="93"/>
    </row>
    <row r="13" spans="1:30" ht="12.75">
      <c r="A13" s="93"/>
      <c r="B13" s="93"/>
      <c r="C13" s="214" t="s">
        <v>44</v>
      </c>
      <c r="D13" s="214"/>
      <c r="E13" s="220">
        <f>SUM(E10:E12)</f>
        <v>62.59120000000001</v>
      </c>
      <c r="F13" s="220">
        <f>SUM(F10:F12)</f>
        <v>63.07580000000001</v>
      </c>
      <c r="G13" s="220"/>
      <c r="H13" s="220">
        <f>SUM(H10:H12)</f>
        <v>63.96040000000001</v>
      </c>
      <c r="I13" s="220">
        <f>SUM(I10:I12)</f>
        <v>63.545</v>
      </c>
      <c r="J13" s="220">
        <f>SUM(J10:J12)</f>
        <v>63.229600000000005</v>
      </c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93"/>
      <c r="W13" s="93"/>
      <c r="X13" s="93"/>
      <c r="Y13" s="93"/>
      <c r="Z13" s="93"/>
      <c r="AA13" s="93"/>
      <c r="AB13" s="93"/>
      <c r="AC13" s="93"/>
      <c r="AD13" s="93"/>
    </row>
    <row r="14" spans="1:30" ht="12.75">
      <c r="A14" s="93"/>
      <c r="B14" s="93"/>
      <c r="C14" s="214"/>
      <c r="D14" s="214"/>
      <c r="E14" s="220"/>
      <c r="F14" s="220"/>
      <c r="G14" s="220"/>
      <c r="H14" s="220"/>
      <c r="I14" s="220"/>
      <c r="J14" s="220"/>
      <c r="K14" s="214"/>
      <c r="L14" s="214"/>
      <c r="M14" s="214" t="s">
        <v>99</v>
      </c>
      <c r="N14" s="214"/>
      <c r="O14" s="214"/>
      <c r="P14" s="282">
        <f>'Allowed revenue -DPCR4'!D10</f>
        <v>53.2</v>
      </c>
      <c r="Q14" s="282">
        <f>'Allowed revenue -DPCR4'!E10</f>
        <v>55.2</v>
      </c>
      <c r="R14" s="282">
        <f>'Allowed revenue -DPCR4'!F10</f>
        <v>56</v>
      </c>
      <c r="S14" s="282">
        <f>'Allowed revenue -DPCR4'!G10</f>
        <v>55.5</v>
      </c>
      <c r="T14" s="282">
        <f>'Allowed revenue -DPCR4'!H10</f>
        <v>55.1</v>
      </c>
      <c r="U14" s="217"/>
      <c r="V14" s="93"/>
      <c r="W14" s="93"/>
      <c r="X14" s="93"/>
      <c r="Y14" s="93"/>
      <c r="Z14" s="93"/>
      <c r="AA14" s="93"/>
      <c r="AB14" s="93"/>
      <c r="AC14" s="93"/>
      <c r="AD14" s="93"/>
    </row>
    <row r="15" spans="1:30" ht="12.75">
      <c r="A15" s="93"/>
      <c r="B15" s="93"/>
      <c r="C15" s="214" t="s">
        <v>100</v>
      </c>
      <c r="D15" s="214"/>
      <c r="E15" s="220"/>
      <c r="F15" s="220"/>
      <c r="G15" s="220"/>
      <c r="H15" s="220"/>
      <c r="I15" s="220"/>
      <c r="J15" s="220"/>
      <c r="K15" s="214"/>
      <c r="L15" s="214"/>
      <c r="M15" s="214" t="s">
        <v>57</v>
      </c>
      <c r="N15" s="214"/>
      <c r="O15" s="214"/>
      <c r="P15" s="282">
        <f>'Allowed revenue -DPCR4'!D11</f>
        <v>63.8</v>
      </c>
      <c r="Q15" s="282">
        <f>'Allowed revenue -DPCR4'!E11</f>
        <v>63.7</v>
      </c>
      <c r="R15" s="282">
        <f>'Allowed revenue -DPCR4'!F11</f>
        <v>63.5</v>
      </c>
      <c r="S15" s="282">
        <f>'Allowed revenue -DPCR4'!G11</f>
        <v>63.4</v>
      </c>
      <c r="T15" s="282">
        <f>'Allowed revenue -DPCR4'!H11</f>
        <v>63.3</v>
      </c>
      <c r="U15" s="217"/>
      <c r="V15" s="93"/>
      <c r="W15" s="93"/>
      <c r="X15" s="93"/>
      <c r="Y15" s="93"/>
      <c r="Z15" s="93"/>
      <c r="AA15" s="93"/>
      <c r="AB15" s="93"/>
      <c r="AC15" s="93"/>
      <c r="AD15" s="93"/>
    </row>
    <row r="16" spans="1:30" ht="12.75">
      <c r="A16" s="93"/>
      <c r="B16" s="93"/>
      <c r="C16" s="214" t="s">
        <v>184</v>
      </c>
      <c r="D16" s="222"/>
      <c r="E16" s="220">
        <f>-P9</f>
        <v>50.3</v>
      </c>
      <c r="F16" s="220">
        <f>-Q9</f>
        <v>55.5</v>
      </c>
      <c r="G16" s="220"/>
      <c r="H16" s="220">
        <f>-R9</f>
        <v>59.1</v>
      </c>
      <c r="I16" s="220">
        <f>-S9</f>
        <v>62.7</v>
      </c>
      <c r="J16" s="220">
        <f>-T9</f>
        <v>66.3</v>
      </c>
      <c r="K16" s="223"/>
      <c r="L16" s="214"/>
      <c r="M16" s="214" t="s">
        <v>58</v>
      </c>
      <c r="N16" s="214"/>
      <c r="O16" s="214"/>
      <c r="P16" s="282">
        <f>'Allowed revenue -DPCR4'!D12</f>
        <v>14.4</v>
      </c>
      <c r="Q16" s="282">
        <f>'Allowed revenue -DPCR4'!E12</f>
        <v>14.6</v>
      </c>
      <c r="R16" s="282">
        <f>'Allowed revenue -DPCR4'!F12</f>
        <v>14.8</v>
      </c>
      <c r="S16" s="282">
        <f>'Allowed revenue -DPCR4'!G12</f>
        <v>15</v>
      </c>
      <c r="T16" s="282">
        <f>'Allowed revenue -DPCR4'!H12</f>
        <v>15.2</v>
      </c>
      <c r="U16" s="217"/>
      <c r="V16" s="93"/>
      <c r="W16" s="93"/>
      <c r="X16" s="93"/>
      <c r="Y16" s="93"/>
      <c r="Z16" s="93"/>
      <c r="AA16" s="93"/>
      <c r="AB16" s="93"/>
      <c r="AC16" s="93"/>
      <c r="AD16" s="93"/>
    </row>
    <row r="17" spans="1:30" ht="12.75">
      <c r="A17" s="93"/>
      <c r="B17" s="93"/>
      <c r="C17" s="214" t="s">
        <v>59</v>
      </c>
      <c r="D17" s="214"/>
      <c r="E17" s="220">
        <f aca="true" t="shared" si="0" ref="E17:F19">P17</f>
        <v>15.8</v>
      </c>
      <c r="F17" s="220">
        <f t="shared" si="0"/>
        <v>16.4</v>
      </c>
      <c r="G17" s="220"/>
      <c r="H17" s="220">
        <f aca="true" t="shared" si="1" ref="H17:J19">R17</f>
        <v>17.1</v>
      </c>
      <c r="I17" s="220">
        <f t="shared" si="1"/>
        <v>17.8</v>
      </c>
      <c r="J17" s="220">
        <f t="shared" si="1"/>
        <v>18.6</v>
      </c>
      <c r="K17" s="214"/>
      <c r="L17" s="214"/>
      <c r="M17" s="214" t="s">
        <v>59</v>
      </c>
      <c r="N17" s="214"/>
      <c r="O17" s="214"/>
      <c r="P17" s="282">
        <f>'Allowed revenue -DPCR4'!D13</f>
        <v>15.8</v>
      </c>
      <c r="Q17" s="282">
        <f>'Allowed revenue -DPCR4'!E13</f>
        <v>16.4</v>
      </c>
      <c r="R17" s="282">
        <f>'Allowed revenue -DPCR4'!F13</f>
        <v>17.1</v>
      </c>
      <c r="S17" s="282">
        <f>'Allowed revenue -DPCR4'!G13</f>
        <v>17.8</v>
      </c>
      <c r="T17" s="282">
        <f>'Allowed revenue -DPCR4'!H13</f>
        <v>18.6</v>
      </c>
      <c r="U17" s="217"/>
      <c r="V17" s="93"/>
      <c r="W17" s="93"/>
      <c r="X17" s="93"/>
      <c r="Y17" s="93"/>
      <c r="Z17" s="93"/>
      <c r="AA17" s="93"/>
      <c r="AB17" s="93"/>
      <c r="AC17" s="93"/>
      <c r="AD17" s="93"/>
    </row>
    <row r="18" spans="1:30" ht="12.75">
      <c r="A18" s="93"/>
      <c r="B18" s="93"/>
      <c r="C18" s="214" t="s">
        <v>61</v>
      </c>
      <c r="D18" s="214"/>
      <c r="E18" s="218">
        <f t="shared" si="0"/>
        <v>4.5</v>
      </c>
      <c r="F18" s="218">
        <f t="shared" si="0"/>
        <v>4.1</v>
      </c>
      <c r="G18" s="218"/>
      <c r="H18" s="218">
        <f t="shared" si="1"/>
        <v>2.8</v>
      </c>
      <c r="I18" s="218">
        <f t="shared" si="1"/>
        <v>1.8</v>
      </c>
      <c r="J18" s="218">
        <f t="shared" si="1"/>
        <v>0.9</v>
      </c>
      <c r="K18" s="217"/>
      <c r="L18" s="214"/>
      <c r="M18" s="214" t="s">
        <v>62</v>
      </c>
      <c r="N18" s="214"/>
      <c r="O18" s="214"/>
      <c r="P18" s="282">
        <f>'Allowed revenue -DPCR4'!D14</f>
        <v>4.5</v>
      </c>
      <c r="Q18" s="282">
        <f>'Allowed revenue -DPCR4'!E14</f>
        <v>4.1</v>
      </c>
      <c r="R18" s="282">
        <f>'Allowed revenue -DPCR4'!F14</f>
        <v>2.8</v>
      </c>
      <c r="S18" s="282">
        <f>'Allowed revenue -DPCR4'!G14</f>
        <v>1.8</v>
      </c>
      <c r="T18" s="282">
        <f>'Allowed revenue -DPCR4'!H14</f>
        <v>0.9</v>
      </c>
      <c r="U18" s="217"/>
      <c r="V18" s="93"/>
      <c r="W18" s="93"/>
      <c r="X18" s="93"/>
      <c r="Y18" s="93"/>
      <c r="Z18" s="93"/>
      <c r="AA18" s="93"/>
      <c r="AB18" s="93"/>
      <c r="AC18" s="93"/>
      <c r="AD18" s="93"/>
    </row>
    <row r="19" spans="1:30" ht="12.75">
      <c r="A19" s="93"/>
      <c r="B19" s="93"/>
      <c r="C19" s="214" t="s">
        <v>63</v>
      </c>
      <c r="D19" s="214"/>
      <c r="E19" s="218">
        <f t="shared" si="0"/>
        <v>1.4</v>
      </c>
      <c r="F19" s="218">
        <f t="shared" si="0"/>
        <v>1.5</v>
      </c>
      <c r="G19" s="218"/>
      <c r="H19" s="218">
        <f t="shared" si="1"/>
        <v>1.5</v>
      </c>
      <c r="I19" s="218">
        <f t="shared" si="1"/>
        <v>1.5</v>
      </c>
      <c r="J19" s="218">
        <f t="shared" si="1"/>
        <v>1.5</v>
      </c>
      <c r="K19" s="223"/>
      <c r="L19" s="214"/>
      <c r="M19" s="214" t="s">
        <v>64</v>
      </c>
      <c r="N19" s="214"/>
      <c r="O19" s="214"/>
      <c r="P19" s="282">
        <f>'Allowed revenue -DPCR4'!D15</f>
        <v>1.4</v>
      </c>
      <c r="Q19" s="282">
        <f>'Allowed revenue -DPCR4'!E15</f>
        <v>1.5</v>
      </c>
      <c r="R19" s="282">
        <f>'Allowed revenue -DPCR4'!F15</f>
        <v>1.5</v>
      </c>
      <c r="S19" s="282">
        <f>'Allowed revenue -DPCR4'!G15</f>
        <v>1.5</v>
      </c>
      <c r="T19" s="282">
        <f>'Allowed revenue -DPCR4'!H15</f>
        <v>1.5</v>
      </c>
      <c r="U19" s="217"/>
      <c r="V19" s="93"/>
      <c r="W19" s="93"/>
      <c r="X19" s="93"/>
      <c r="Y19" s="93"/>
      <c r="Z19" s="93"/>
      <c r="AA19" s="93"/>
      <c r="AB19" s="93"/>
      <c r="AC19" s="93"/>
      <c r="AD19" s="93"/>
    </row>
    <row r="20" spans="1:30" ht="12.75">
      <c r="A20" s="93"/>
      <c r="B20" s="93"/>
      <c r="C20" s="214" t="s">
        <v>66</v>
      </c>
      <c r="D20" s="223"/>
      <c r="E20" s="220">
        <f>E8-E13-E16-E17-E18-E19</f>
        <v>41.003102962685894</v>
      </c>
      <c r="F20" s="220">
        <f>F8-F13-F16-F17-F18-F19</f>
        <v>37.30122890120077</v>
      </c>
      <c r="G20" s="220"/>
      <c r="H20" s="220">
        <f>H8-H13-H16-H17-H18-H19</f>
        <v>35.8749491426784</v>
      </c>
      <c r="I20" s="220">
        <f>I8-I13-I16-I17-I18-I19</f>
        <v>34.92188647526797</v>
      </c>
      <c r="J20" s="220">
        <f>J8-J13-J16-J17-J18-J19</f>
        <v>34.02001241378288</v>
      </c>
      <c r="K20" s="223"/>
      <c r="L20" s="214"/>
      <c r="M20" s="214" t="s">
        <v>38</v>
      </c>
      <c r="N20" s="214"/>
      <c r="O20" s="214"/>
      <c r="P20" s="1226">
        <f>IF(ISNUMBER('Allowed revenue -DPCR4'!D16+'Allowed revenue -DPCR4'!D17),'Allowed revenue -DPCR4'!D16+'Allowed revenue -DPCR4'!D17,"")</f>
        <v>1.7</v>
      </c>
      <c r="Q20" s="1226">
        <f>IF(ISNUMBER('Allowed revenue -DPCR4'!E16+'Allowed revenue -DPCR4'!E17),'Allowed revenue -DPCR4'!E16+'Allowed revenue -DPCR4'!E17,"")</f>
        <v>1.7</v>
      </c>
      <c r="R20" s="1226">
        <f>IF(ISNUMBER('Allowed revenue -DPCR4'!F16+'Allowed revenue -DPCR4'!F17),'Allowed revenue -DPCR4'!F16+'Allowed revenue -DPCR4'!F17,"")</f>
        <v>1.7</v>
      </c>
      <c r="S20" s="1226">
        <f>IF(ISNUMBER('Allowed revenue -DPCR4'!G16+'Allowed revenue -DPCR4'!G17),'Allowed revenue -DPCR4'!G16+'Allowed revenue -DPCR4'!G17,"")</f>
        <v>1.7</v>
      </c>
      <c r="T20" s="1226">
        <f>IF(ISNUMBER('Allowed revenue -DPCR4'!H16+'Allowed revenue -DPCR4'!H17),'Allowed revenue -DPCR4'!H16+'Allowed revenue -DPCR4'!H17,"")</f>
        <v>1.7</v>
      </c>
      <c r="U20" s="217"/>
      <c r="V20" s="93"/>
      <c r="W20" s="93"/>
      <c r="X20" s="93"/>
      <c r="Y20" s="93"/>
      <c r="Z20" s="93"/>
      <c r="AA20" s="93"/>
      <c r="AB20" s="93"/>
      <c r="AC20" s="93"/>
      <c r="AD20" s="93"/>
    </row>
    <row r="21" spans="1:30" ht="12.75">
      <c r="A21" s="93"/>
      <c r="B21" s="93"/>
      <c r="C21" s="214" t="s">
        <v>213</v>
      </c>
      <c r="D21" s="214"/>
      <c r="E21" s="220">
        <f>SUM(E16:E20)</f>
        <v>113.00310296268589</v>
      </c>
      <c r="F21" s="220">
        <f>SUM(F16:F20)</f>
        <v>114.80122890120077</v>
      </c>
      <c r="G21" s="220"/>
      <c r="H21" s="220">
        <f>SUM(H16:H20)</f>
        <v>116.3749491426784</v>
      </c>
      <c r="I21" s="220">
        <f>SUM(I16:I20)</f>
        <v>118.72188647526797</v>
      </c>
      <c r="J21" s="220">
        <f>SUM(J16:J20)</f>
        <v>121.32001241378289</v>
      </c>
      <c r="K21" s="214"/>
      <c r="L21" s="214"/>
      <c r="M21" s="214" t="s">
        <v>90</v>
      </c>
      <c r="N21" s="214"/>
      <c r="O21" s="214"/>
      <c r="P21" s="282">
        <f>'Allowed revenue -DPCR4'!D18</f>
        <v>1.6</v>
      </c>
      <c r="Q21" s="282">
        <f>'Allowed revenue -DPCR4'!E18</f>
        <v>0</v>
      </c>
      <c r="R21" s="282">
        <f>'Allowed revenue -DPCR4'!F18</f>
        <v>0</v>
      </c>
      <c r="S21" s="282">
        <f>'Allowed revenue -DPCR4'!G18</f>
        <v>0</v>
      </c>
      <c r="T21" s="282">
        <f>'Allowed revenue -DPCR4'!H18</f>
        <v>0</v>
      </c>
      <c r="U21" s="217"/>
      <c r="V21" s="93"/>
      <c r="W21" s="93"/>
      <c r="X21" s="93"/>
      <c r="Y21" s="93"/>
      <c r="Z21" s="93"/>
      <c r="AA21" s="93"/>
      <c r="AB21" s="93"/>
      <c r="AC21" s="93"/>
      <c r="AD21" s="93"/>
    </row>
    <row r="22" spans="1:30" ht="12.75">
      <c r="A22" s="93"/>
      <c r="B22" s="93"/>
      <c r="C22" s="234" t="s">
        <v>214</v>
      </c>
      <c r="D22" s="214"/>
      <c r="E22" s="220">
        <f>E21-E16</f>
        <v>62.70310296268589</v>
      </c>
      <c r="F22" s="220">
        <f>F21-F16</f>
        <v>59.30122890120077</v>
      </c>
      <c r="G22" s="220"/>
      <c r="H22" s="220">
        <f>H21-H16</f>
        <v>57.2749491426784</v>
      </c>
      <c r="I22" s="220">
        <f>I21-I16</f>
        <v>56.02188647526796</v>
      </c>
      <c r="J22" s="220">
        <f>J21-J16</f>
        <v>55.020012413782894</v>
      </c>
      <c r="K22" s="235"/>
      <c r="L22" s="235"/>
      <c r="M22" s="235" t="s">
        <v>249</v>
      </c>
      <c r="N22" s="235"/>
      <c r="O22" s="235"/>
      <c r="P22" s="214">
        <f>'Allowed revenue -DPCR4'!D19</f>
        <v>156.5</v>
      </c>
      <c r="Q22" s="214">
        <f>'Allowed revenue -DPCR4'!E19</f>
        <v>157.2</v>
      </c>
      <c r="R22" s="214">
        <f>'Allowed revenue -DPCR4'!F19</f>
        <v>157.4</v>
      </c>
      <c r="S22" s="214">
        <f>'Allowed revenue -DPCR4'!G19</f>
        <v>156.8</v>
      </c>
      <c r="T22" s="214">
        <f>'Allowed revenue -DPCR4'!H19</f>
        <v>156.3</v>
      </c>
      <c r="U22" s="214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>
      <c r="A23" s="93"/>
      <c r="B23" s="93"/>
      <c r="C23" s="214"/>
      <c r="D23" s="214"/>
      <c r="E23" s="220"/>
      <c r="F23" s="220"/>
      <c r="G23" s="220"/>
      <c r="H23" s="220"/>
      <c r="I23" s="220"/>
      <c r="J23" s="220"/>
      <c r="K23" s="235"/>
      <c r="L23" s="235"/>
      <c r="M23" s="235" t="s">
        <v>174</v>
      </c>
      <c r="N23" s="235"/>
      <c r="O23" s="235"/>
      <c r="P23" s="214">
        <f>'Allowed revenue -DPCR4'!D20</f>
        <v>152.3</v>
      </c>
      <c r="Q23" s="214">
        <f>'Allowed revenue -DPCR4'!E20</f>
        <v>144.9</v>
      </c>
      <c r="R23" s="214">
        <f>'Allowed revenue -DPCR4'!F20</f>
        <v>137.5</v>
      </c>
      <c r="S23" s="214">
        <f>'Allowed revenue -DPCR4'!G20</f>
        <v>129.8</v>
      </c>
      <c r="T23" s="214">
        <f>'Allowed revenue -DPCR4'!H20</f>
        <v>122.6</v>
      </c>
      <c r="U23" s="220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12.75">
      <c r="A24" s="93"/>
      <c r="B24" s="93"/>
      <c r="C24" s="214" t="s">
        <v>175</v>
      </c>
      <c r="D24" s="214"/>
      <c r="E24" s="220"/>
      <c r="F24" s="220"/>
      <c r="G24" s="220"/>
      <c r="H24" s="220"/>
      <c r="I24" s="220"/>
      <c r="J24" s="220"/>
      <c r="K24" s="235"/>
      <c r="L24" s="214"/>
      <c r="M24" s="214" t="s">
        <v>42</v>
      </c>
      <c r="N24" s="214"/>
      <c r="O24" s="214"/>
      <c r="P24" s="214"/>
      <c r="Q24" s="214"/>
      <c r="R24" s="214"/>
      <c r="S24" s="214"/>
      <c r="T24" s="214">
        <f>'Allowed revenue -DPCR4'!H21</f>
        <v>113.7</v>
      </c>
      <c r="U24" s="220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12.75">
      <c r="A25" s="93"/>
      <c r="B25" s="93"/>
      <c r="C25" s="214"/>
      <c r="D25" s="214"/>
      <c r="E25" s="220"/>
      <c r="F25" s="220"/>
      <c r="G25" s="220"/>
      <c r="H25" s="220"/>
      <c r="I25" s="220"/>
      <c r="J25" s="220"/>
      <c r="K25" s="214"/>
      <c r="L25" s="214"/>
      <c r="M25" s="214" t="s">
        <v>176</v>
      </c>
      <c r="N25" s="214"/>
      <c r="O25" s="214"/>
      <c r="P25" s="214"/>
      <c r="Q25" s="214"/>
      <c r="R25" s="214"/>
      <c r="S25" s="214"/>
      <c r="T25" s="214">
        <f>'Allowed revenue -DPCR4'!H22</f>
        <v>800.9</v>
      </c>
      <c r="U25" s="220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12.75">
      <c r="A26" s="93"/>
      <c r="B26" s="93"/>
      <c r="C26" s="214" t="s">
        <v>263</v>
      </c>
      <c r="D26" s="214"/>
      <c r="E26" s="218">
        <f>E13</f>
        <v>62.59120000000001</v>
      </c>
      <c r="F26" s="218">
        <f>F13</f>
        <v>63.07580000000001</v>
      </c>
      <c r="G26" s="218"/>
      <c r="H26" s="218">
        <f>H13</f>
        <v>63.96040000000001</v>
      </c>
      <c r="I26" s="218">
        <f>I13</f>
        <v>63.545</v>
      </c>
      <c r="J26" s="218">
        <f>J13</f>
        <v>63.229600000000005</v>
      </c>
      <c r="K26" s="218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93"/>
      <c r="W26" s="93"/>
      <c r="X26" s="93"/>
      <c r="Y26" s="93"/>
      <c r="Z26" s="93"/>
      <c r="AA26" s="93"/>
      <c r="AB26" s="93"/>
      <c r="AC26" s="93"/>
      <c r="AD26" s="93"/>
    </row>
    <row r="27" spans="1:30" ht="12.75">
      <c r="A27" s="93"/>
      <c r="B27" s="93"/>
      <c r="C27" s="214" t="s">
        <v>184</v>
      </c>
      <c r="D27" s="214"/>
      <c r="E27" s="218">
        <f>E16</f>
        <v>50.3</v>
      </c>
      <c r="F27" s="218">
        <f>F16</f>
        <v>55.5</v>
      </c>
      <c r="G27" s="218"/>
      <c r="H27" s="218">
        <f>H16</f>
        <v>59.1</v>
      </c>
      <c r="I27" s="218">
        <f>I16</f>
        <v>62.7</v>
      </c>
      <c r="J27" s="218">
        <f>J16</f>
        <v>66.3</v>
      </c>
      <c r="K27" s="217"/>
      <c r="L27" s="214"/>
      <c r="M27" s="222">
        <v>0.05545</v>
      </c>
      <c r="N27" s="222"/>
      <c r="O27" s="214"/>
      <c r="P27" s="235">
        <f>1/(1+M27)</f>
        <v>0.9474631673693685</v>
      </c>
      <c r="Q27" s="235">
        <f>P27/(1+M27)</f>
        <v>0.897686453521596</v>
      </c>
      <c r="R27" s="235">
        <f>Q27/(1+M27)</f>
        <v>0.8505248505581467</v>
      </c>
      <c r="S27" s="235">
        <f>R27/(1+M27)</f>
        <v>0.8058409688361805</v>
      </c>
      <c r="T27" s="235">
        <f>S27/(1+M27)</f>
        <v>0.7635046367295282</v>
      </c>
      <c r="U27" s="235"/>
      <c r="V27" s="93"/>
      <c r="W27" s="93"/>
      <c r="X27" s="93"/>
      <c r="Y27" s="93"/>
      <c r="Z27" s="93"/>
      <c r="AA27" s="93"/>
      <c r="AB27" s="93"/>
      <c r="AC27" s="93"/>
      <c r="AD27" s="93"/>
    </row>
    <row r="28" spans="1:30" ht="12.75">
      <c r="A28" s="93"/>
      <c r="B28" s="93"/>
      <c r="C28" s="214" t="s">
        <v>66</v>
      </c>
      <c r="D28" s="223"/>
      <c r="E28" s="220">
        <f>E20</f>
        <v>41.003102962685894</v>
      </c>
      <c r="F28" s="220">
        <f>F20</f>
        <v>37.30122890120077</v>
      </c>
      <c r="G28" s="220"/>
      <c r="H28" s="220">
        <f>H20</f>
        <v>35.8749491426784</v>
      </c>
      <c r="I28" s="220">
        <f>I20</f>
        <v>34.92188647526797</v>
      </c>
      <c r="J28" s="220">
        <f>J20</f>
        <v>34.02001241378288</v>
      </c>
      <c r="K28" s="223"/>
      <c r="L28" s="214"/>
      <c r="M28" s="214"/>
      <c r="N28" s="214"/>
      <c r="O28" s="214"/>
      <c r="P28" s="235">
        <v>1</v>
      </c>
      <c r="Q28" s="235">
        <f>P27</f>
        <v>0.9474631673693685</v>
      </c>
      <c r="R28" s="235">
        <f>Q27</f>
        <v>0.897686453521596</v>
      </c>
      <c r="S28" s="235">
        <f>R27</f>
        <v>0.8505248505581467</v>
      </c>
      <c r="T28" s="235">
        <f>S27</f>
        <v>0.8058409688361805</v>
      </c>
      <c r="U28" s="235"/>
      <c r="V28" s="93"/>
      <c r="W28" s="93"/>
      <c r="X28" s="93"/>
      <c r="Y28" s="93"/>
      <c r="Z28" s="93"/>
      <c r="AA28" s="93"/>
      <c r="AB28" s="93"/>
      <c r="AC28" s="93"/>
      <c r="AD28" s="93"/>
    </row>
    <row r="29" spans="1:30" ht="12.75">
      <c r="A29" s="93"/>
      <c r="B29" s="93"/>
      <c r="C29" s="214"/>
      <c r="D29" s="223"/>
      <c r="E29" s="223"/>
      <c r="F29" s="223"/>
      <c r="G29" s="223"/>
      <c r="H29" s="223"/>
      <c r="I29" s="223"/>
      <c r="J29" s="223"/>
      <c r="K29" s="223"/>
      <c r="L29" s="214"/>
      <c r="M29" s="214"/>
      <c r="N29" s="214"/>
      <c r="O29" s="214"/>
      <c r="P29" s="235">
        <f>1/(1+M27)^0.5</f>
        <v>0.9733771968612006</v>
      </c>
      <c r="Q29" s="235">
        <f>1/(1+M27)^1.5</f>
        <v>0.9222390419832306</v>
      </c>
      <c r="R29" s="235">
        <f>1/(1+M27)^2.5</f>
        <v>0.8737875237891236</v>
      </c>
      <c r="S29" s="235">
        <f>1/(1+M27)^3.5</f>
        <v>0.8278814948970804</v>
      </c>
      <c r="T29" s="235">
        <f>1/(1+M27)^4.5</f>
        <v>0.7843872233616755</v>
      </c>
      <c r="U29" s="235"/>
      <c r="V29" s="93"/>
      <c r="W29" s="93"/>
      <c r="X29" s="93"/>
      <c r="Y29" s="93"/>
      <c r="Z29" s="93"/>
      <c r="AA29" s="93"/>
      <c r="AB29" s="93"/>
      <c r="AC29" s="93"/>
      <c r="AD29" s="93"/>
    </row>
    <row r="30" spans="1:30" ht="12.75">
      <c r="A30" s="93"/>
      <c r="B30" s="9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93"/>
      <c r="W30" s="93"/>
      <c r="X30" s="93"/>
      <c r="Y30" s="93"/>
      <c r="Z30" s="93"/>
      <c r="AA30" s="93"/>
      <c r="AB30" s="93"/>
      <c r="AC30" s="93"/>
      <c r="AD30" s="93"/>
    </row>
    <row r="31" spans="1:30" ht="12.75">
      <c r="A31" s="93"/>
      <c r="B31" s="93"/>
      <c r="C31" s="214"/>
      <c r="D31" s="217"/>
      <c r="E31" s="214"/>
      <c r="F31" s="214"/>
      <c r="G31" s="214"/>
      <c r="H31" s="214"/>
      <c r="I31" s="214"/>
      <c r="J31" s="214"/>
      <c r="K31" s="214"/>
      <c r="L31" s="214"/>
      <c r="M31" s="214" t="s">
        <v>180</v>
      </c>
      <c r="N31" s="214"/>
      <c r="O31" s="214"/>
      <c r="P31" s="282">
        <f>'Allowed revenue -DPCR4'!D24</f>
        <v>1</v>
      </c>
      <c r="Q31" s="282">
        <f>'Allowed revenue -DPCR4'!E24</f>
        <v>1.013</v>
      </c>
      <c r="R31" s="282">
        <f>'Allowed revenue -DPCR4'!F24</f>
        <v>1.027</v>
      </c>
      <c r="S31" s="282">
        <f>'Allowed revenue -DPCR4'!G24</f>
        <v>1.038</v>
      </c>
      <c r="T31" s="282">
        <f>'Allowed revenue -DPCR4'!H24</f>
        <v>1.051</v>
      </c>
      <c r="U31" s="217"/>
      <c r="V31" s="93"/>
      <c r="W31" s="93"/>
      <c r="X31" s="93"/>
      <c r="Y31" s="93"/>
      <c r="Z31" s="93"/>
      <c r="AA31" s="93"/>
      <c r="AB31" s="93"/>
      <c r="AC31" s="93"/>
      <c r="AD31" s="93"/>
    </row>
    <row r="32" spans="1:48" ht="12.75">
      <c r="A32" s="93"/>
      <c r="B32" s="93"/>
      <c r="C32" s="214"/>
      <c r="D32" s="217"/>
      <c r="E32" s="214"/>
      <c r="F32" s="214"/>
      <c r="G32" s="214"/>
      <c r="H32" s="214"/>
      <c r="I32" s="214"/>
      <c r="J32" s="214"/>
      <c r="K32" s="214"/>
      <c r="L32" s="214"/>
      <c r="M32" s="214" t="s">
        <v>181</v>
      </c>
      <c r="N32" s="214"/>
      <c r="O32" s="214"/>
      <c r="P32" s="249">
        <f>P31*P29</f>
        <v>0.9733771968612006</v>
      </c>
      <c r="Q32" s="249">
        <f>Q31*Q29</f>
        <v>0.9342281495290125</v>
      </c>
      <c r="R32" s="249">
        <f>R31*R29</f>
        <v>0.8973797869314298</v>
      </c>
      <c r="S32" s="249">
        <f>S31*S29</f>
        <v>0.8593409917031695</v>
      </c>
      <c r="T32" s="249">
        <f>T31*T29</f>
        <v>0.8243909717531209</v>
      </c>
      <c r="U32" s="249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</row>
    <row r="33" spans="1:48" ht="12.75">
      <c r="A33" s="93"/>
      <c r="B33" s="9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 t="s">
        <v>182</v>
      </c>
      <c r="N33" s="214"/>
      <c r="O33" s="214"/>
      <c r="P33" s="220">
        <f>($T$25-$O$39)/SUM($P$32:$V$32)*P31</f>
        <v>175.5943029626859</v>
      </c>
      <c r="Q33" s="220">
        <f>($T$25-$O$39)/SUM($P$32:$V$32)*Q31</f>
        <v>177.8770289012008</v>
      </c>
      <c r="R33" s="220">
        <f>($T$25-$O$39)/SUM($P$32:$V$32)*R31</f>
        <v>180.3353491426784</v>
      </c>
      <c r="S33" s="220">
        <f>($T$25-$O$39)/SUM($P$32:$V$32)*S31</f>
        <v>182.26688647526797</v>
      </c>
      <c r="T33" s="220">
        <f>($T$25-$O$39)/SUM($P$32:$V$32)*T31</f>
        <v>184.54961241378288</v>
      </c>
      <c r="U33" s="22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314"/>
      <c r="AQ33" s="314"/>
      <c r="AR33" s="314"/>
      <c r="AS33" s="314"/>
      <c r="AT33" s="314"/>
      <c r="AU33" s="93"/>
      <c r="AV33" s="93"/>
    </row>
    <row r="34" spans="1:48" ht="12.75">
      <c r="A34" s="93"/>
      <c r="B34" s="9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 t="s">
        <v>81</v>
      </c>
      <c r="N34" s="214"/>
      <c r="O34" s="214"/>
      <c r="P34" s="214">
        <f>'Allowed revenue -DPCR4'!D27</f>
        <v>2.9</v>
      </c>
      <c r="Q34" s="214">
        <f>'Allowed revenue -DPCR4'!E27</f>
        <v>2.9</v>
      </c>
      <c r="R34" s="214">
        <f>'Allowed revenue -DPCR4'!F27</f>
        <v>2.9</v>
      </c>
      <c r="S34" s="214">
        <f>'Allowed revenue -DPCR4'!G27</f>
        <v>2.9</v>
      </c>
      <c r="T34" s="214">
        <f>'Allowed revenue -DPCR4'!H27</f>
        <v>2.9</v>
      </c>
      <c r="U34" s="214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106"/>
      <c r="AR34" s="106"/>
      <c r="AS34" s="106"/>
      <c r="AT34" s="106"/>
      <c r="AU34" s="93"/>
      <c r="AV34" s="93"/>
    </row>
    <row r="35" spans="1:48" ht="12.75">
      <c r="A35" s="93"/>
      <c r="B35" s="9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 t="s">
        <v>82</v>
      </c>
      <c r="N35" s="214"/>
      <c r="O35" s="214"/>
      <c r="P35" s="220">
        <f>P34+P33</f>
        <v>178.4943029626859</v>
      </c>
      <c r="Q35" s="220">
        <f>Q34+Q33</f>
        <v>180.7770289012008</v>
      </c>
      <c r="R35" s="220">
        <f>R34+R33</f>
        <v>183.23534914267842</v>
      </c>
      <c r="S35" s="220">
        <f>S34+S33</f>
        <v>185.16688647526797</v>
      </c>
      <c r="T35" s="220">
        <f>T34+T33</f>
        <v>187.4496124137829</v>
      </c>
      <c r="U35" s="22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221"/>
      <c r="AT35" s="93"/>
      <c r="AU35" s="93"/>
      <c r="AV35" s="93"/>
    </row>
    <row r="36" spans="1:48" ht="12.75">
      <c r="A36" s="93"/>
      <c r="B36" s="9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 t="s">
        <v>3</v>
      </c>
      <c r="N36" s="214"/>
      <c r="O36" s="214"/>
      <c r="P36" s="220">
        <f>P35*P29</f>
        <v>173.7422842735131</v>
      </c>
      <c r="Q36" s="220">
        <f>Q35*Q29</f>
        <v>166.7196339464182</v>
      </c>
      <c r="R36" s="220">
        <f>R35*R29</f>
        <v>160.1087619980165</v>
      </c>
      <c r="S36" s="220">
        <f>S35*S29</f>
        <v>153.29623878058283</v>
      </c>
      <c r="T36" s="220">
        <f>T35*T29</f>
        <v>147.03308100146944</v>
      </c>
      <c r="U36" s="220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</row>
    <row r="37" spans="1:48" ht="12.75">
      <c r="A37" s="93"/>
      <c r="B37" s="9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 t="s">
        <v>176</v>
      </c>
      <c r="N37" s="214"/>
      <c r="O37" s="214"/>
      <c r="P37" s="214"/>
      <c r="Q37" s="214"/>
      <c r="R37" s="214"/>
      <c r="S37" s="214"/>
      <c r="T37" s="220">
        <f>SUM(P36:T36)</f>
        <v>800.9000000000001</v>
      </c>
      <c r="U37" s="22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</row>
    <row r="38" spans="1:48" ht="12.75">
      <c r="A38" s="93"/>
      <c r="B38" s="9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</row>
    <row r="39" spans="1:48" ht="12.75">
      <c r="A39" s="93"/>
      <c r="B39" s="9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 t="s">
        <v>40</v>
      </c>
      <c r="N39" s="214"/>
      <c r="O39" s="220">
        <f>SUM(P39:T39)</f>
        <v>12.706850194587702</v>
      </c>
      <c r="P39" s="220">
        <f>P34*P29</f>
        <v>2.8227938708974816</v>
      </c>
      <c r="Q39" s="220">
        <f>Q34*Q29</f>
        <v>2.674493221751369</v>
      </c>
      <c r="R39" s="220">
        <f>R34*R29</f>
        <v>2.5339838189884585</v>
      </c>
      <c r="S39" s="220">
        <f>S34*S29</f>
        <v>2.4008563352015333</v>
      </c>
      <c r="T39" s="220">
        <f>T34*T29</f>
        <v>2.274722947748859</v>
      </c>
      <c r="U39" s="220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</row>
    <row r="40" spans="1:48" s="358" customFormat="1" ht="12.75">
      <c r="A40" s="357"/>
      <c r="B40" s="357"/>
      <c r="O40" s="359"/>
      <c r="P40" s="359"/>
      <c r="Q40" s="359"/>
      <c r="R40" s="359"/>
      <c r="S40" s="359"/>
      <c r="T40" s="359"/>
      <c r="U40" s="359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</row>
    <row r="41" spans="1:48" s="361" customFormat="1" ht="12.75">
      <c r="A41" s="356" t="s">
        <v>248</v>
      </c>
      <c r="B41" s="360"/>
      <c r="O41" s="362"/>
      <c r="P41" s="362"/>
      <c r="Q41" s="362"/>
      <c r="R41" s="362"/>
      <c r="S41" s="362"/>
      <c r="T41" s="362"/>
      <c r="U41" s="362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</row>
    <row r="42" spans="1:50" ht="12.75">
      <c r="A42" s="93"/>
      <c r="B42" s="9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50"/>
      <c r="P42" s="250"/>
      <c r="Q42" s="250"/>
      <c r="R42" s="250"/>
      <c r="S42" s="250"/>
      <c r="T42" s="250"/>
      <c r="U42" s="250"/>
      <c r="V42" s="250"/>
      <c r="W42" s="250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</row>
    <row r="43" spans="1:50" ht="25.5">
      <c r="A43" s="93"/>
      <c r="B43" s="93"/>
      <c r="C43" s="251" t="s">
        <v>370</v>
      </c>
      <c r="D43" s="252" t="s">
        <v>381</v>
      </c>
      <c r="E43" s="253" t="s">
        <v>382</v>
      </c>
      <c r="F43" s="1427" t="s">
        <v>383</v>
      </c>
      <c r="G43" s="1427"/>
      <c r="H43" s="1427"/>
      <c r="I43" s="1427"/>
      <c r="J43" s="1427"/>
      <c r="K43" s="254"/>
      <c r="L43" s="1428" t="s">
        <v>593</v>
      </c>
      <c r="M43" s="1427"/>
      <c r="N43" s="1427"/>
      <c r="O43" s="1429"/>
      <c r="P43" s="255"/>
      <c r="Q43" s="1430"/>
      <c r="R43" s="1431"/>
      <c r="S43" s="1427"/>
      <c r="T43" s="1427"/>
      <c r="U43" s="1429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1:50" ht="12.75">
      <c r="A44" s="93"/>
      <c r="B44" s="93"/>
      <c r="C44" s="256"/>
      <c r="D44" s="233"/>
      <c r="E44" s="257"/>
      <c r="F44" s="233" t="s">
        <v>756</v>
      </c>
      <c r="G44" s="233"/>
      <c r="H44" s="233" t="s">
        <v>750</v>
      </c>
      <c r="I44" s="233" t="s">
        <v>25</v>
      </c>
      <c r="J44" s="233" t="s">
        <v>751</v>
      </c>
      <c r="K44" s="258"/>
      <c r="L44" s="259" t="s">
        <v>756</v>
      </c>
      <c r="M44" s="233" t="s">
        <v>750</v>
      </c>
      <c r="N44" s="233" t="s">
        <v>25</v>
      </c>
      <c r="O44" s="260" t="s">
        <v>751</v>
      </c>
      <c r="P44" s="244"/>
      <c r="Q44" s="257"/>
      <c r="R44" s="228"/>
      <c r="S44" s="228"/>
      <c r="T44" s="228"/>
      <c r="U44" s="261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</row>
    <row r="45" spans="1:50" ht="12.75">
      <c r="A45" s="93"/>
      <c r="B45" s="93"/>
      <c r="C45" s="256" t="s">
        <v>66</v>
      </c>
      <c r="D45" s="262">
        <f>SUM(E22:J22)</f>
        <v>290.32117989561596</v>
      </c>
      <c r="E45" s="366" t="s">
        <v>23</v>
      </c>
      <c r="F45" s="242">
        <f>VLOOKUP($E45,'Calc-Drivers'!$B$17:$F$27,F$51,FALSE)</f>
        <v>0.35319112482493065</v>
      </c>
      <c r="G45" s="242"/>
      <c r="H45" s="242">
        <f>VLOOKUP($E45,'Calc-Drivers'!$B$17:$F$27,H$51,FALSE)</f>
        <v>0.2995269514953759</v>
      </c>
      <c r="I45" s="242">
        <f>VLOOKUP($E45,'Calc-Drivers'!$B$17:$F$27,I$51,FALSE)</f>
        <v>0.07934970205767705</v>
      </c>
      <c r="J45" s="242">
        <f>VLOOKUP($E45,'Calc-Drivers'!$B$17:$F$27,J$51,FALSE)</f>
        <v>0.26793222162201646</v>
      </c>
      <c r="K45" s="258"/>
      <c r="L45" s="264">
        <f>$D45*F45</f>
        <v>102.53886408783364</v>
      </c>
      <c r="M45" s="265">
        <f aca="true" t="shared" si="2" ref="M45:O47">$D45*H45</f>
        <v>86.95901796867446</v>
      </c>
      <c r="N45" s="265">
        <f t="shared" si="2"/>
        <v>23.036899125750388</v>
      </c>
      <c r="O45" s="266">
        <f t="shared" si="2"/>
        <v>77.78639871335749</v>
      </c>
      <c r="P45" s="244"/>
      <c r="Q45" s="267"/>
      <c r="R45" s="268"/>
      <c r="S45" s="267"/>
      <c r="T45" s="267"/>
      <c r="U45" s="267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</row>
    <row r="46" spans="1:50" ht="12.75">
      <c r="A46" s="93"/>
      <c r="B46" s="93"/>
      <c r="C46" s="256" t="s">
        <v>184</v>
      </c>
      <c r="D46" s="262">
        <f>SUM(E16:J16)</f>
        <v>293.90000000000003</v>
      </c>
      <c r="E46" s="263" t="s">
        <v>23</v>
      </c>
      <c r="F46" s="242">
        <f>VLOOKUP($E46,'Calc-Drivers'!$B$17:$F$27,F$51,FALSE)</f>
        <v>0.35319112482493065</v>
      </c>
      <c r="G46" s="242"/>
      <c r="H46" s="242">
        <f>VLOOKUP($E46,'Calc-Drivers'!$B$17:$F$27,H$51,FALSE)</f>
        <v>0.2995269514953759</v>
      </c>
      <c r="I46" s="242">
        <f>VLOOKUP($E46,'Calc-Drivers'!$B$17:$F$27,I$51,FALSE)</f>
        <v>0.07934970205767705</v>
      </c>
      <c r="J46" s="242">
        <f>VLOOKUP($E46,'Calc-Drivers'!$B$17:$F$27,J$51,FALSE)</f>
        <v>0.26793222162201646</v>
      </c>
      <c r="K46" s="258"/>
      <c r="L46" s="264">
        <f>$D46*F46</f>
        <v>103.80287158604713</v>
      </c>
      <c r="M46" s="265">
        <f t="shared" si="2"/>
        <v>88.03097104449098</v>
      </c>
      <c r="N46" s="265">
        <f t="shared" si="2"/>
        <v>23.32087743475129</v>
      </c>
      <c r="O46" s="266">
        <f t="shared" si="2"/>
        <v>78.74527993471065</v>
      </c>
      <c r="P46" s="244"/>
      <c r="Q46" s="267"/>
      <c r="R46" s="268"/>
      <c r="S46" s="267"/>
      <c r="T46" s="267"/>
      <c r="U46" s="267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</row>
    <row r="47" spans="1:50" ht="12.75">
      <c r="A47" s="93"/>
      <c r="B47" s="93"/>
      <c r="C47" s="269" t="s">
        <v>384</v>
      </c>
      <c r="D47" s="262">
        <f>SUM(E13:J13)</f>
        <v>316.40200000000004</v>
      </c>
      <c r="E47" s="263" t="s">
        <v>385</v>
      </c>
      <c r="F47" s="242">
        <f>'Calc - WPD Opex Allocation'!AO41</f>
        <v>0.19026908055166622</v>
      </c>
      <c r="H47" s="242">
        <f>'Calc - WPD Opex Allocation'!AP41</f>
        <v>0.24325140107870918</v>
      </c>
      <c r="I47" s="242">
        <f>'Calc - WPD Opex Allocation'!AQ41</f>
        <v>0.092665652569101</v>
      </c>
      <c r="J47" s="242">
        <f>'Calc - WPD Opex Allocation'!AR41</f>
        <v>0.47381386580052354</v>
      </c>
      <c r="K47" s="258"/>
      <c r="L47" s="264">
        <f>$D47*F47</f>
        <v>60.2015176247083</v>
      </c>
      <c r="M47" s="265">
        <f t="shared" si="2"/>
        <v>76.96522980410576</v>
      </c>
      <c r="N47" s="265">
        <f t="shared" si="2"/>
        <v>29.3195978041687</v>
      </c>
      <c r="O47" s="266">
        <f>$D47*J47</f>
        <v>149.91565476701726</v>
      </c>
      <c r="P47" s="244"/>
      <c r="Q47" s="267"/>
      <c r="R47" s="268"/>
      <c r="S47" s="267"/>
      <c r="T47" s="267"/>
      <c r="U47" s="267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</row>
    <row r="48" spans="1:50" ht="12.75">
      <c r="A48" s="93"/>
      <c r="B48" s="93"/>
      <c r="C48" s="257"/>
      <c r="D48" s="262"/>
      <c r="E48" s="257"/>
      <c r="F48" s="228"/>
      <c r="G48" s="228"/>
      <c r="H48" s="228"/>
      <c r="I48" s="228"/>
      <c r="J48" s="228"/>
      <c r="K48" s="258"/>
      <c r="L48" s="259"/>
      <c r="M48" s="233"/>
      <c r="N48" s="265"/>
      <c r="O48" s="260"/>
      <c r="P48" s="244"/>
      <c r="Q48" s="270"/>
      <c r="R48" s="244"/>
      <c r="S48" s="244"/>
      <c r="T48" s="268"/>
      <c r="U48" s="261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</row>
    <row r="49" spans="1:50" ht="12.75">
      <c r="A49" s="93"/>
      <c r="B49" s="93"/>
      <c r="C49" s="269" t="s">
        <v>757</v>
      </c>
      <c r="D49" s="262">
        <f>SUM(D45:D47)</f>
        <v>900.623179895616</v>
      </c>
      <c r="E49" s="257"/>
      <c r="F49" s="228"/>
      <c r="G49" s="228"/>
      <c r="H49" s="228"/>
      <c r="I49" s="228"/>
      <c r="J49" s="228"/>
      <c r="K49" s="258"/>
      <c r="L49" s="264">
        <f>SUM(L45:L48)</f>
        <v>266.5432532985891</v>
      </c>
      <c r="M49" s="265">
        <f>SUM(M45:M48)</f>
        <v>251.9552188172712</v>
      </c>
      <c r="N49" s="265">
        <f>SUM(N45:N48)</f>
        <v>75.67737436467038</v>
      </c>
      <c r="O49" s="266">
        <f>SUM(O45:O48)</f>
        <v>306.4473334150854</v>
      </c>
      <c r="P49" s="244"/>
      <c r="Q49" s="271"/>
      <c r="R49" s="272"/>
      <c r="S49" s="272"/>
      <c r="T49" s="272"/>
      <c r="U49" s="27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</row>
    <row r="50" spans="1:50" ht="12.75">
      <c r="A50" s="93"/>
      <c r="B50" s="93"/>
      <c r="C50" s="274"/>
      <c r="D50" s="275"/>
      <c r="E50" s="274"/>
      <c r="F50" s="275"/>
      <c r="G50" s="275"/>
      <c r="H50" s="275"/>
      <c r="I50" s="275"/>
      <c r="J50" s="275"/>
      <c r="K50" s="276"/>
      <c r="L50" s="277">
        <f>L49/SUM($L$49:$O$49)</f>
        <v>0.2959542450700436</v>
      </c>
      <c r="M50" s="277">
        <f>M49/SUM($L$49:$O$49)</f>
        <v>0.27975653352212554</v>
      </c>
      <c r="N50" s="277">
        <f>N49/SUM($L$49:$O$49)</f>
        <v>0.08402778881778451</v>
      </c>
      <c r="O50" s="277">
        <f>O49/SUM($L$49:$O$49)</f>
        <v>0.3402614325900464</v>
      </c>
      <c r="P50" s="278"/>
      <c r="Q50" s="279"/>
      <c r="R50" s="279"/>
      <c r="S50" s="279"/>
      <c r="T50" s="279"/>
      <c r="U50" s="279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</row>
    <row r="51" spans="1:50" ht="12.75">
      <c r="A51" s="93"/>
      <c r="B51" s="93"/>
      <c r="C51" s="93"/>
      <c r="D51" s="93"/>
      <c r="E51" s="93"/>
      <c r="F51" s="93">
        <v>5</v>
      </c>
      <c r="G51" s="93"/>
      <c r="H51" s="93">
        <v>4</v>
      </c>
      <c r="I51" s="93">
        <v>3</v>
      </c>
      <c r="J51" s="93">
        <v>2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</row>
    <row r="52" spans="1:50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</row>
    <row r="53" spans="1:50" ht="12.75">
      <c r="A53" s="93"/>
      <c r="B53" s="93"/>
      <c r="C53" s="93"/>
      <c r="D53" s="93"/>
      <c r="E53" s="367" t="s">
        <v>37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</row>
    <row r="54" spans="1:50" ht="12.75">
      <c r="A54" s="93"/>
      <c r="B54" s="93"/>
      <c r="C54" s="93"/>
      <c r="D54" s="93"/>
      <c r="E54" s="367" t="s">
        <v>155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</row>
    <row r="55" spans="1:50" ht="12.7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</row>
    <row r="56" spans="1:48" s="361" customFormat="1" ht="12.75">
      <c r="A56" s="356" t="s">
        <v>35</v>
      </c>
      <c r="B56" s="360"/>
      <c r="O56" s="362"/>
      <c r="P56" s="362"/>
      <c r="Q56" s="362"/>
      <c r="R56" s="362"/>
      <c r="S56" s="362"/>
      <c r="T56" s="362"/>
      <c r="U56" s="362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</row>
    <row r="58" spans="2:8" ht="13.5" thickBot="1">
      <c r="B58" s="1432" t="s">
        <v>133</v>
      </c>
      <c r="C58" s="1432"/>
      <c r="D58" s="1432"/>
      <c r="E58" s="1432"/>
      <c r="F58" s="1432"/>
      <c r="G58" s="1432"/>
      <c r="H58" s="1432"/>
    </row>
    <row r="59" spans="2:19" ht="13.5" thickBot="1">
      <c r="B59" s="207" t="s">
        <v>441</v>
      </c>
      <c r="C59" s="208"/>
      <c r="D59" s="208"/>
      <c r="E59" s="208"/>
      <c r="F59" s="208"/>
      <c r="G59" s="280">
        <f>'Summary of revenue'!J11</f>
        <v>200.657654</v>
      </c>
      <c r="H59" s="209">
        <f>G59/$G$64</f>
        <v>0.9155118334915172</v>
      </c>
      <c r="K59" s="215"/>
      <c r="L59" s="215"/>
      <c r="M59" s="215"/>
      <c r="N59" s="215"/>
      <c r="O59" s="215"/>
      <c r="P59" s="215"/>
      <c r="Q59" s="215"/>
      <c r="R59" s="215"/>
      <c r="S59" s="215" t="s">
        <v>593</v>
      </c>
    </row>
    <row r="60" spans="2:19" ht="13.5" thickBot="1">
      <c r="B60" s="210" t="s">
        <v>91</v>
      </c>
      <c r="C60" s="211"/>
      <c r="D60" s="211"/>
      <c r="E60" s="211"/>
      <c r="F60" s="211"/>
      <c r="G60" s="280">
        <f>'Summary of revenue'!J12</f>
        <v>-3.144495</v>
      </c>
      <c r="H60" s="209">
        <f>G60/$G$64</f>
        <v>-0.014346935317278793</v>
      </c>
      <c r="K60" s="215"/>
      <c r="L60" s="215"/>
      <c r="M60" s="215"/>
      <c r="N60" s="215"/>
      <c r="O60" s="215"/>
      <c r="P60" s="215"/>
      <c r="Q60" s="215"/>
      <c r="R60" s="215"/>
      <c r="S60" s="215"/>
    </row>
    <row r="61" spans="2:20" ht="13.5" thickBot="1">
      <c r="B61" s="210" t="s">
        <v>74</v>
      </c>
      <c r="C61" s="211"/>
      <c r="D61" s="211"/>
      <c r="E61" s="211"/>
      <c r="F61" s="211"/>
      <c r="G61" s="280">
        <f>'Summary of revenue'!J13</f>
        <v>7.475332</v>
      </c>
      <c r="H61" s="209">
        <f>G61/$G$64</f>
        <v>0.03410662274202513</v>
      </c>
      <c r="K61" s="215" t="s">
        <v>195</v>
      </c>
      <c r="L61" s="215"/>
      <c r="M61" s="215"/>
      <c r="N61" s="215"/>
      <c r="O61" s="215"/>
      <c r="P61" s="215"/>
      <c r="Q61" s="215"/>
      <c r="R61" s="215"/>
      <c r="S61" s="216">
        <f>G64</f>
        <v>219.17538</v>
      </c>
      <c r="T61" s="368" t="s">
        <v>311</v>
      </c>
    </row>
    <row r="62" spans="2:20" ht="13.5" thickBot="1">
      <c r="B62" s="283" t="s">
        <v>50</v>
      </c>
      <c r="C62" s="211"/>
      <c r="D62" s="211"/>
      <c r="E62" s="211"/>
      <c r="F62" s="211"/>
      <c r="G62" s="280">
        <f>'Summary of revenue'!J21</f>
        <v>3.366889</v>
      </c>
      <c r="H62" s="209">
        <f>G62/$G$64</f>
        <v>0.015361620452078149</v>
      </c>
      <c r="K62" s="215"/>
      <c r="L62" s="215"/>
      <c r="M62" s="215"/>
      <c r="N62" s="215"/>
      <c r="O62" s="215"/>
      <c r="P62" s="215"/>
      <c r="Q62" s="215"/>
      <c r="R62" s="215"/>
      <c r="S62" s="216"/>
      <c r="T62" s="368"/>
    </row>
    <row r="63" spans="2:20" ht="15" thickBot="1">
      <c r="B63" s="210" t="s">
        <v>75</v>
      </c>
      <c r="C63" s="211"/>
      <c r="D63" s="211"/>
      <c r="E63" s="211"/>
      <c r="F63" s="211"/>
      <c r="G63" s="280">
        <f>'Summary of revenue'!J46+'Summary of revenue'!J47</f>
        <v>10.82</v>
      </c>
      <c r="H63" s="209">
        <f>G63/$G$64</f>
        <v>0.04936685863165836</v>
      </c>
      <c r="K63" s="215" t="s">
        <v>183</v>
      </c>
      <c r="L63" s="215"/>
      <c r="M63" s="215"/>
      <c r="N63" s="215"/>
      <c r="O63" s="215"/>
      <c r="P63" s="219" t="s">
        <v>778</v>
      </c>
      <c r="Q63" s="215"/>
      <c r="R63" s="215"/>
      <c r="S63" s="216">
        <f>IF(P63="Y",-G61,0)</f>
        <v>-7.475332</v>
      </c>
      <c r="T63" s="368" t="s">
        <v>311</v>
      </c>
    </row>
    <row r="64" spans="2:20" ht="15" thickBot="1">
      <c r="B64" s="212" t="s">
        <v>757</v>
      </c>
      <c r="C64" s="213"/>
      <c r="D64" s="213"/>
      <c r="E64" s="213"/>
      <c r="F64" s="213"/>
      <c r="G64" s="280">
        <f>SUM(G59:G63)</f>
        <v>219.17538</v>
      </c>
      <c r="H64" s="209">
        <f>SUM(H59:H63)</f>
        <v>1</v>
      </c>
      <c r="K64" s="215" t="s">
        <v>84</v>
      </c>
      <c r="L64" s="215"/>
      <c r="M64" s="215"/>
      <c r="N64" s="215"/>
      <c r="O64" s="215"/>
      <c r="P64" s="219" t="s">
        <v>87</v>
      </c>
      <c r="Q64" s="215"/>
      <c r="R64" s="215"/>
      <c r="S64" s="216">
        <f>IF(P64="Y",-G66,0)</f>
        <v>0</v>
      </c>
      <c r="T64" s="368" t="s">
        <v>104</v>
      </c>
    </row>
    <row r="65" spans="11:19" ht="14.25">
      <c r="K65" s="215" t="s">
        <v>702</v>
      </c>
      <c r="L65" s="215"/>
      <c r="M65" s="215"/>
      <c r="N65" s="215"/>
      <c r="O65" s="215"/>
      <c r="P65" s="219" t="s">
        <v>778</v>
      </c>
      <c r="Q65" s="215"/>
      <c r="R65" s="215"/>
      <c r="S65" s="216">
        <f>IF(P65="Y",-'RRP 1.3'!AH12,0)</f>
        <v>-5.16757397</v>
      </c>
    </row>
    <row r="66" spans="2:19" ht="12.75">
      <c r="B66" s="369" t="s">
        <v>105</v>
      </c>
      <c r="G66" s="211">
        <v>0</v>
      </c>
      <c r="H66" s="368" t="s">
        <v>104</v>
      </c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1:19" ht="12.75">
      <c r="K67" s="215" t="s">
        <v>43</v>
      </c>
      <c r="L67" s="215"/>
      <c r="M67" s="215"/>
      <c r="N67" s="215"/>
      <c r="O67" s="215"/>
      <c r="P67" s="215"/>
      <c r="Q67" s="215"/>
      <c r="R67" s="215"/>
      <c r="S67" s="216">
        <f>S61+S63+S64+S65</f>
        <v>206.53247402999997</v>
      </c>
    </row>
    <row r="68" spans="2:19" ht="12.7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</row>
    <row r="69" spans="5:19" s="131" customFormat="1" ht="39" customHeight="1" thickBot="1">
      <c r="E69" s="1433" t="s">
        <v>36</v>
      </c>
      <c r="F69" s="1434"/>
      <c r="G69" s="1434"/>
      <c r="H69" s="1434"/>
      <c r="I69" s="1434"/>
      <c r="J69" s="1434"/>
      <c r="K69" s="1434"/>
      <c r="L69" s="1435"/>
      <c r="M69" s="1433" t="s">
        <v>507</v>
      </c>
      <c r="N69" s="1434"/>
      <c r="O69" s="1434"/>
      <c r="P69" s="1434"/>
      <c r="Q69" s="1434"/>
      <c r="R69" s="1434"/>
      <c r="S69" s="1435"/>
    </row>
    <row r="70" spans="2:19" ht="12.75">
      <c r="B70" s="224" t="s">
        <v>60</v>
      </c>
      <c r="C70" s="225"/>
      <c r="D70" s="225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9"/>
    </row>
    <row r="71" spans="2:19" ht="13.5" thickBot="1">
      <c r="B71" s="227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9"/>
    </row>
    <row r="72" spans="2:19" ht="12.75">
      <c r="B72" s="224"/>
      <c r="C72" s="225"/>
      <c r="D72" s="225"/>
      <c r="E72" s="1423" t="s">
        <v>593</v>
      </c>
      <c r="F72" s="1424"/>
      <c r="G72" s="1424"/>
      <c r="H72" s="1424"/>
      <c r="I72" s="1424"/>
      <c r="J72" s="1424"/>
      <c r="K72" s="1424"/>
      <c r="L72" s="226"/>
      <c r="M72" s="1423" t="s">
        <v>65</v>
      </c>
      <c r="N72" s="1425"/>
      <c r="O72" s="1425"/>
      <c r="P72" s="1425"/>
      <c r="Q72" s="1425"/>
      <c r="R72" s="1424"/>
      <c r="S72" s="1426"/>
    </row>
    <row r="73" spans="2:19" ht="12.75">
      <c r="B73" s="227"/>
      <c r="C73" s="228"/>
      <c r="D73" s="228"/>
      <c r="E73" s="230" t="s">
        <v>757</v>
      </c>
      <c r="F73" s="230"/>
      <c r="G73" s="230" t="s">
        <v>756</v>
      </c>
      <c r="H73" s="230" t="s">
        <v>750</v>
      </c>
      <c r="I73" s="230" t="s">
        <v>25</v>
      </c>
      <c r="J73" s="230" t="s">
        <v>751</v>
      </c>
      <c r="K73" s="230" t="s">
        <v>39</v>
      </c>
      <c r="L73" s="230"/>
      <c r="M73" s="231" t="s">
        <v>756</v>
      </c>
      <c r="N73" s="231" t="s">
        <v>750</v>
      </c>
      <c r="O73" s="231" t="s">
        <v>25</v>
      </c>
      <c r="P73" s="231" t="s">
        <v>751</v>
      </c>
      <c r="Q73" s="230" t="s">
        <v>39</v>
      </c>
      <c r="R73" s="230"/>
      <c r="S73" s="230" t="s">
        <v>757</v>
      </c>
    </row>
    <row r="74" spans="2:19" ht="12.75">
      <c r="B74" s="227"/>
      <c r="C74" s="228"/>
      <c r="D74" s="228"/>
      <c r="E74" s="227"/>
      <c r="F74" s="228"/>
      <c r="G74" s="228"/>
      <c r="H74" s="228"/>
      <c r="I74" s="228"/>
      <c r="J74" s="228"/>
      <c r="K74" s="228"/>
      <c r="L74" s="229"/>
      <c r="M74" s="232"/>
      <c r="N74" s="233"/>
      <c r="O74" s="233"/>
      <c r="P74" s="233"/>
      <c r="Q74" s="228"/>
      <c r="R74" s="228"/>
      <c r="S74" s="229"/>
    </row>
    <row r="75" spans="2:19" ht="12.75">
      <c r="B75" s="227" t="s">
        <v>250</v>
      </c>
      <c r="C75" s="228"/>
      <c r="D75" s="228"/>
      <c r="E75" s="236">
        <f>SUM(G75:K75)</f>
        <v>219.17538</v>
      </c>
      <c r="F75" s="228"/>
      <c r="G75" s="237">
        <f>$S$67*L50</f>
        <v>61.12416243399703</v>
      </c>
      <c r="H75" s="237">
        <f>$S$67*M50</f>
        <v>57.77880899438121</v>
      </c>
      <c r="I75" s="237">
        <f>$S$67*N50</f>
        <v>17.354467111807402</v>
      </c>
      <c r="J75" s="237">
        <f>$S$67*O50</f>
        <v>70.27503548981434</v>
      </c>
      <c r="K75" s="281">
        <f>S61-S67</f>
        <v>12.642905970000015</v>
      </c>
      <c r="L75" s="229"/>
      <c r="M75" s="238">
        <f>G75*100000000/'Calc-Units'!E21</f>
        <v>0.4059333740547773</v>
      </c>
      <c r="N75" s="238">
        <f>H75*100000000/'Calc-Units'!D21</f>
        <v>0.3966519200541648</v>
      </c>
      <c r="O75" s="238">
        <f>I75*100000000/'Calc-Units'!C21</f>
        <v>0.1558453415530518</v>
      </c>
      <c r="P75" s="238">
        <f>J75*100000000/'Calc-Units'!C21</f>
        <v>0.631078836244505</v>
      </c>
      <c r="Q75" s="238">
        <f>K75*100000000/'Calc-Units'!E21</f>
        <v>0.08396315424037443</v>
      </c>
      <c r="R75" s="228"/>
      <c r="S75" s="238"/>
    </row>
    <row r="76" spans="2:19" ht="12.75">
      <c r="B76" s="227"/>
      <c r="C76" s="228"/>
      <c r="D76" s="228"/>
      <c r="E76" s="227"/>
      <c r="F76" s="228"/>
      <c r="G76" s="228"/>
      <c r="H76" s="228"/>
      <c r="I76" s="228"/>
      <c r="J76" s="228"/>
      <c r="K76" s="228"/>
      <c r="L76" s="229"/>
      <c r="M76" s="232"/>
      <c r="N76" s="233"/>
      <c r="O76" s="233"/>
      <c r="P76" s="233"/>
      <c r="Q76" s="233"/>
      <c r="R76" s="228"/>
      <c r="S76" s="229"/>
    </row>
    <row r="77" spans="2:19" ht="12.75">
      <c r="B77" s="227"/>
      <c r="C77" s="228"/>
      <c r="D77" s="228"/>
      <c r="E77" s="227"/>
      <c r="F77" s="228"/>
      <c r="G77" s="228"/>
      <c r="H77" s="228"/>
      <c r="I77" s="228"/>
      <c r="J77" s="228"/>
      <c r="K77" s="228"/>
      <c r="L77" s="229"/>
      <c r="M77" s="232"/>
      <c r="N77" s="233"/>
      <c r="O77" s="233"/>
      <c r="P77" s="233"/>
      <c r="Q77" s="233"/>
      <c r="R77" s="228"/>
      <c r="S77" s="229"/>
    </row>
    <row r="78" spans="2:19" ht="12.75">
      <c r="B78" s="227" t="s">
        <v>177</v>
      </c>
      <c r="C78" s="228"/>
      <c r="D78" s="228"/>
      <c r="E78" s="227"/>
      <c r="F78" s="228"/>
      <c r="G78" s="228"/>
      <c r="H78" s="228"/>
      <c r="I78" s="228"/>
      <c r="J78" s="228"/>
      <c r="K78" s="228"/>
      <c r="L78" s="229"/>
      <c r="M78" s="238">
        <f>M75</f>
        <v>0.4059333740547773</v>
      </c>
      <c r="N78" s="239">
        <f>N75</f>
        <v>0.3966519200541648</v>
      </c>
      <c r="O78" s="239">
        <f>O75</f>
        <v>0.1558453415530518</v>
      </c>
      <c r="P78" s="239">
        <f>P75</f>
        <v>0.631078836244505</v>
      </c>
      <c r="Q78" s="239">
        <f>Q75</f>
        <v>0.08396315424037443</v>
      </c>
      <c r="R78" s="228"/>
      <c r="S78" s="240">
        <f>SUM(M78:Q78)</f>
        <v>1.6734726261468733</v>
      </c>
    </row>
    <row r="79" spans="2:19" ht="12.75">
      <c r="B79" s="227" t="s">
        <v>178</v>
      </c>
      <c r="C79" s="228"/>
      <c r="D79" s="228"/>
      <c r="E79" s="227"/>
      <c r="F79" s="228"/>
      <c r="G79" s="228"/>
      <c r="H79" s="228"/>
      <c r="I79" s="228"/>
      <c r="J79" s="228"/>
      <c r="K79" s="228"/>
      <c r="L79" s="229"/>
      <c r="M79" s="238"/>
      <c r="N79" s="239"/>
      <c r="O79" s="239"/>
      <c r="P79" s="233"/>
      <c r="Q79" s="239"/>
      <c r="R79" s="228"/>
      <c r="S79" s="240"/>
    </row>
    <row r="80" spans="2:19" ht="12.75">
      <c r="B80" s="227" t="s">
        <v>179</v>
      </c>
      <c r="C80" s="228"/>
      <c r="D80" s="228"/>
      <c r="E80" s="227"/>
      <c r="F80" s="228"/>
      <c r="G80" s="228"/>
      <c r="H80" s="228"/>
      <c r="I80" s="228"/>
      <c r="J80" s="228"/>
      <c r="K80" s="228"/>
      <c r="L80" s="229"/>
      <c r="M80" s="238"/>
      <c r="N80" s="233"/>
      <c r="O80" s="233"/>
      <c r="P80" s="233"/>
      <c r="Q80" s="239"/>
      <c r="R80" s="228"/>
      <c r="S80" s="240"/>
    </row>
    <row r="81" spans="2:19" ht="12.75">
      <c r="B81" s="227"/>
      <c r="C81" s="228"/>
      <c r="D81" s="228"/>
      <c r="E81" s="227"/>
      <c r="F81" s="228"/>
      <c r="G81" s="228"/>
      <c r="H81" s="228"/>
      <c r="I81" s="228"/>
      <c r="J81" s="228"/>
      <c r="K81" s="228"/>
      <c r="L81" s="229"/>
      <c r="M81" s="232"/>
      <c r="N81" s="233"/>
      <c r="O81" s="233"/>
      <c r="P81" s="233"/>
      <c r="Q81" s="233"/>
      <c r="R81" s="228"/>
      <c r="S81" s="229"/>
    </row>
    <row r="82" spans="2:19" ht="12.75">
      <c r="B82" s="227" t="s">
        <v>177</v>
      </c>
      <c r="C82" s="228"/>
      <c r="D82" s="228"/>
      <c r="E82" s="227"/>
      <c r="F82" s="228"/>
      <c r="G82" s="228"/>
      <c r="H82" s="228"/>
      <c r="I82" s="228"/>
      <c r="J82" s="228"/>
      <c r="K82" s="228"/>
      <c r="L82" s="229"/>
      <c r="M82" s="363">
        <f>M78/$S78</f>
        <v>0.24256947362767936</v>
      </c>
      <c r="N82" s="363">
        <f>N78/$S78</f>
        <v>0.23702324965269697</v>
      </c>
      <c r="O82" s="363">
        <f>O78/$S78</f>
        <v>0.09312691412938233</v>
      </c>
      <c r="P82" s="363">
        <f>P78/$S78</f>
        <v>0.37710735531871076</v>
      </c>
      <c r="Q82" s="363">
        <f>Q78/$S78</f>
        <v>0.05017300727153057</v>
      </c>
      <c r="R82" s="364"/>
      <c r="S82" s="365">
        <f>SUM(M82:Q82)</f>
        <v>1</v>
      </c>
    </row>
    <row r="83" spans="2:19" ht="12.75">
      <c r="B83" s="227" t="s">
        <v>178</v>
      </c>
      <c r="C83" s="228"/>
      <c r="D83" s="228"/>
      <c r="E83" s="227"/>
      <c r="F83" s="228"/>
      <c r="G83" s="228"/>
      <c r="H83" s="228"/>
      <c r="I83" s="228"/>
      <c r="J83" s="228"/>
      <c r="K83" s="228"/>
      <c r="L83" s="229"/>
      <c r="M83" s="241"/>
      <c r="N83" s="241"/>
      <c r="O83" s="241"/>
      <c r="P83" s="241"/>
      <c r="Q83" s="241"/>
      <c r="R83" s="244"/>
      <c r="S83" s="243"/>
    </row>
    <row r="84" spans="2:19" ht="13.5" thickBot="1">
      <c r="B84" s="245" t="s">
        <v>179</v>
      </c>
      <c r="C84" s="246"/>
      <c r="D84" s="246"/>
      <c r="E84" s="245"/>
      <c r="F84" s="246"/>
      <c r="G84" s="246"/>
      <c r="H84" s="246"/>
      <c r="I84" s="246"/>
      <c r="J84" s="246"/>
      <c r="K84" s="246"/>
      <c r="L84" s="247"/>
      <c r="M84" s="241"/>
      <c r="N84" s="241"/>
      <c r="O84" s="241"/>
      <c r="P84" s="241"/>
      <c r="Q84" s="241"/>
      <c r="R84" s="248"/>
      <c r="S84" s="243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4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221" t="s">
        <v>595</v>
      </c>
      <c r="B1" s="1222"/>
      <c r="C1" s="1222"/>
      <c r="D1" s="1222"/>
      <c r="E1" s="1222"/>
      <c r="F1" s="390" t="s">
        <v>776</v>
      </c>
      <c r="G1" s="1222"/>
      <c r="H1" s="1222"/>
      <c r="I1" s="1222"/>
    </row>
    <row r="2" spans="1:9" s="2" customFormat="1" ht="12.75">
      <c r="A2" s="1223"/>
      <c r="B2" s="1224"/>
      <c r="C2" s="1224"/>
      <c r="D2" s="1224"/>
      <c r="E2" s="1224"/>
      <c r="F2" s="1224"/>
      <c r="G2" s="1224"/>
      <c r="H2" s="1224"/>
      <c r="I2" s="1224"/>
    </row>
    <row r="3" spans="1:9" ht="12.75">
      <c r="A3" s="1221" t="s">
        <v>739</v>
      </c>
      <c r="B3" s="1222"/>
      <c r="C3" s="1222"/>
      <c r="D3" s="1222"/>
      <c r="E3" s="1222"/>
      <c r="F3" s="1222"/>
      <c r="G3" s="1222"/>
      <c r="H3" s="1222"/>
      <c r="I3" s="1222"/>
    </row>
    <row r="4" spans="1:9" ht="12.75">
      <c r="A4" s="1221"/>
      <c r="B4" s="1222"/>
      <c r="C4" s="1222"/>
      <c r="D4" s="1222"/>
      <c r="E4" s="1222"/>
      <c r="F4" s="1222"/>
      <c r="G4" s="1222"/>
      <c r="H4" s="1222"/>
      <c r="I4" s="1222"/>
    </row>
    <row r="5" spans="1:7" ht="20.25">
      <c r="A5" s="1600" t="s">
        <v>740</v>
      </c>
      <c r="B5" s="1600"/>
      <c r="C5" s="1600"/>
      <c r="D5" s="1202"/>
      <c r="E5" s="1203"/>
      <c r="F5" s="1203"/>
      <c r="G5" s="1203"/>
    </row>
    <row r="6" spans="1:7" ht="15" thickBot="1">
      <c r="A6" s="1204"/>
      <c r="B6" s="1204"/>
      <c r="C6" s="671"/>
      <c r="D6" s="671"/>
      <c r="E6" s="1205"/>
      <c r="F6" s="1205"/>
      <c r="G6" s="1205"/>
    </row>
    <row r="7" spans="1:9" ht="15.75" thickBot="1">
      <c r="A7" s="1204"/>
      <c r="B7" s="1204"/>
      <c r="C7" s="1206"/>
      <c r="D7" s="1207" t="s">
        <v>741</v>
      </c>
      <c r="E7" s="1207" t="s">
        <v>742</v>
      </c>
      <c r="F7" s="1207" t="s">
        <v>743</v>
      </c>
      <c r="G7" s="1207" t="s">
        <v>739</v>
      </c>
      <c r="H7" s="1" t="s">
        <v>609</v>
      </c>
      <c r="I7" s="1" t="s">
        <v>610</v>
      </c>
    </row>
    <row r="8" spans="1:8" ht="15">
      <c r="A8" s="1204"/>
      <c r="B8" s="1204"/>
      <c r="C8" s="1208" t="s">
        <v>648</v>
      </c>
      <c r="D8" s="1209"/>
      <c r="E8" s="1601" t="s">
        <v>649</v>
      </c>
      <c r="F8" s="1602"/>
      <c r="G8" s="1210"/>
      <c r="H8" s="1" t="s">
        <v>767</v>
      </c>
    </row>
    <row r="9" spans="1:7" ht="14.25">
      <c r="A9" s="1204"/>
      <c r="B9" s="1204"/>
      <c r="C9" s="1211" t="s">
        <v>768</v>
      </c>
      <c r="D9" s="1212" t="s">
        <v>769</v>
      </c>
      <c r="E9" s="1302"/>
      <c r="F9" s="1303"/>
      <c r="G9" s="1304">
        <v>1.504598</v>
      </c>
    </row>
    <row r="10" spans="1:7" ht="14.25">
      <c r="A10" s="1204"/>
      <c r="B10" s="1204"/>
      <c r="C10" s="1211" t="s">
        <v>770</v>
      </c>
      <c r="D10" s="1212" t="s">
        <v>771</v>
      </c>
      <c r="E10" s="1302"/>
      <c r="F10" s="1303"/>
      <c r="G10" s="1304">
        <v>79</v>
      </c>
    </row>
    <row r="11" spans="1:7" ht="14.25">
      <c r="A11" s="1204"/>
      <c r="B11" s="1204"/>
      <c r="C11" s="1211" t="s">
        <v>485</v>
      </c>
      <c r="D11" s="1212" t="s">
        <v>486</v>
      </c>
      <c r="E11" s="1302"/>
      <c r="F11" s="1303"/>
      <c r="G11" s="1304">
        <v>55.6</v>
      </c>
    </row>
    <row r="12" spans="1:7" ht="15.75" thickBot="1">
      <c r="A12" s="1204"/>
      <c r="B12" s="1204"/>
      <c r="C12" s="1211"/>
      <c r="D12" s="1213"/>
      <c r="E12" s="1214"/>
      <c r="F12" s="1215"/>
      <c r="G12" s="1215"/>
    </row>
    <row r="13" spans="1:7" ht="15">
      <c r="A13" s="1204"/>
      <c r="B13" s="1204"/>
      <c r="C13" s="1216" t="s">
        <v>745</v>
      </c>
      <c r="D13" s="1209"/>
      <c r="E13" s="1217"/>
      <c r="F13" s="1205"/>
      <c r="G13" s="1205"/>
    </row>
    <row r="14" spans="1:7" ht="14.25">
      <c r="A14" s="1204"/>
      <c r="B14" s="1204"/>
      <c r="C14" s="1218"/>
      <c r="D14" s="1212"/>
      <c r="E14" s="1217"/>
      <c r="F14" s="1205"/>
      <c r="G14" s="1205"/>
    </row>
    <row r="15" spans="1:7" ht="14.25">
      <c r="A15" s="1204"/>
      <c r="B15" s="1204"/>
      <c r="C15" s="1219" t="s">
        <v>746</v>
      </c>
      <c r="D15" s="1212"/>
      <c r="E15" s="1217"/>
      <c r="F15" s="1205"/>
      <c r="G15" s="1205"/>
    </row>
    <row r="16" spans="1:7" ht="14.25">
      <c r="A16" s="1204"/>
      <c r="B16" s="1204"/>
      <c r="C16" s="1219" t="s">
        <v>747</v>
      </c>
      <c r="D16" s="1212"/>
      <c r="E16" s="1217"/>
      <c r="F16" s="1205"/>
      <c r="G16" s="1205"/>
    </row>
    <row r="17" spans="1:7" ht="14.25">
      <c r="A17" s="1204"/>
      <c r="B17" s="1204"/>
      <c r="C17" s="1218" t="s">
        <v>748</v>
      </c>
      <c r="D17" s="1212" t="s">
        <v>749</v>
      </c>
      <c r="E17" s="1302"/>
      <c r="F17" s="1303"/>
      <c r="G17" s="1304">
        <v>0</v>
      </c>
    </row>
    <row r="18" spans="1:7" ht="14.25">
      <c r="A18" s="1204"/>
      <c r="B18" s="1204"/>
      <c r="C18" s="1218" t="s">
        <v>750</v>
      </c>
      <c r="D18" s="1212" t="s">
        <v>749</v>
      </c>
      <c r="E18" s="1302"/>
      <c r="F18" s="1303"/>
      <c r="G18" s="1304">
        <v>25</v>
      </c>
    </row>
    <row r="19" spans="1:7" ht="14.25">
      <c r="A19" s="1204"/>
      <c r="B19" s="1204"/>
      <c r="C19" s="1218" t="s">
        <v>751</v>
      </c>
      <c r="D19" s="1212" t="s">
        <v>749</v>
      </c>
      <c r="E19" s="1302"/>
      <c r="F19" s="1303"/>
      <c r="G19" s="1304">
        <v>20123</v>
      </c>
    </row>
    <row r="20" spans="1:7" ht="14.25">
      <c r="A20" s="1204"/>
      <c r="B20" s="1204"/>
      <c r="C20" s="1218" t="s">
        <v>752</v>
      </c>
      <c r="D20" s="1212" t="s">
        <v>749</v>
      </c>
      <c r="E20" s="1302"/>
      <c r="F20" s="1303"/>
      <c r="G20" s="1304">
        <v>3</v>
      </c>
    </row>
    <row r="21" spans="1:7" ht="14.25">
      <c r="A21" s="1204"/>
      <c r="B21" s="1204"/>
      <c r="C21" s="1218"/>
      <c r="D21" s="1212"/>
      <c r="E21" s="1217"/>
      <c r="F21" s="1205"/>
      <c r="G21" s="1205"/>
    </row>
    <row r="22" spans="1:7" ht="14.25">
      <c r="A22" s="1204"/>
      <c r="B22" s="1204"/>
      <c r="C22" s="1219" t="s">
        <v>753</v>
      </c>
      <c r="D22" s="1212"/>
      <c r="E22" s="1217"/>
      <c r="F22" s="1205"/>
      <c r="G22" s="1205"/>
    </row>
    <row r="23" spans="1:7" ht="14.25">
      <c r="A23" s="1204"/>
      <c r="B23" s="1204"/>
      <c r="C23" s="1218" t="s">
        <v>754</v>
      </c>
      <c r="D23" s="1212" t="s">
        <v>755</v>
      </c>
      <c r="E23" s="1302"/>
      <c r="F23" s="1303"/>
      <c r="G23" s="1304">
        <v>108.8</v>
      </c>
    </row>
    <row r="24" spans="1:7" ht="14.25">
      <c r="A24" s="1204"/>
      <c r="B24" s="1204"/>
      <c r="C24" s="1218" t="s">
        <v>756</v>
      </c>
      <c r="D24" s="1212" t="s">
        <v>755</v>
      </c>
      <c r="E24" s="1302"/>
      <c r="F24" s="1303"/>
      <c r="G24" s="1304">
        <v>74.2</v>
      </c>
    </row>
    <row r="25" spans="1:7" ht="14.25">
      <c r="A25" s="1204"/>
      <c r="B25" s="1204"/>
      <c r="C25" s="1218" t="s">
        <v>750</v>
      </c>
      <c r="D25" s="1212" t="s">
        <v>755</v>
      </c>
      <c r="E25" s="1302"/>
      <c r="F25" s="1303"/>
      <c r="G25" s="1304">
        <v>172.6</v>
      </c>
    </row>
    <row r="26" spans="1:7" ht="15" thickBot="1">
      <c r="A26" s="1204"/>
      <c r="B26" s="1204"/>
      <c r="C26" s="1218" t="s">
        <v>751</v>
      </c>
      <c r="D26" s="1212" t="s">
        <v>755</v>
      </c>
      <c r="E26" s="1302"/>
      <c r="F26" s="1303"/>
      <c r="G26" s="1304">
        <v>7.3</v>
      </c>
    </row>
    <row r="27" spans="1:7" ht="15" thickBot="1">
      <c r="A27" s="1204"/>
      <c r="B27" s="1204"/>
      <c r="C27" s="1219" t="s">
        <v>757</v>
      </c>
      <c r="D27" s="1212"/>
      <c r="E27" s="1220">
        <v>0</v>
      </c>
      <c r="F27" s="1220">
        <v>0</v>
      </c>
      <c r="G27" s="1220">
        <v>362.9</v>
      </c>
    </row>
    <row r="28" spans="1:7" ht="14.25">
      <c r="A28" s="1204"/>
      <c r="B28" s="1204"/>
      <c r="C28" s="1218"/>
      <c r="D28" s="1212"/>
      <c r="E28" s="93"/>
      <c r="F28" s="93"/>
      <c r="G28" s="93"/>
    </row>
    <row r="29" spans="1:7" ht="14.25">
      <c r="A29" s="1204"/>
      <c r="B29" s="1204"/>
      <c r="C29" s="1219" t="s">
        <v>758</v>
      </c>
      <c r="D29" s="1212"/>
      <c r="E29" s="93"/>
      <c r="F29" s="93"/>
      <c r="G29" s="93"/>
    </row>
    <row r="30" spans="1:7" ht="14.25">
      <c r="A30" s="1204"/>
      <c r="B30" s="1204"/>
      <c r="C30" s="1218" t="s">
        <v>459</v>
      </c>
      <c r="D30" s="1212" t="s">
        <v>755</v>
      </c>
      <c r="E30" s="1302"/>
      <c r="F30" s="1303"/>
      <c r="G30" s="1304">
        <v>2953.3786</v>
      </c>
    </row>
    <row r="31" spans="1:7" ht="14.25">
      <c r="A31" s="1204"/>
      <c r="B31" s="1204"/>
      <c r="C31" s="1218" t="s">
        <v>460</v>
      </c>
      <c r="D31" s="1212" t="s">
        <v>755</v>
      </c>
      <c r="E31" s="1302"/>
      <c r="F31" s="1303"/>
      <c r="G31" s="1304">
        <v>2953.3786</v>
      </c>
    </row>
    <row r="32" spans="1:7" ht="14.25">
      <c r="A32" s="1204"/>
      <c r="B32" s="1204"/>
      <c r="C32" s="1218"/>
      <c r="D32" s="1212"/>
      <c r="E32" s="93"/>
      <c r="F32" s="93"/>
      <c r="G32" s="93"/>
    </row>
    <row r="33" spans="1:7" ht="14.25">
      <c r="A33" s="1204"/>
      <c r="B33" s="1204"/>
      <c r="C33" s="1219" t="s">
        <v>488</v>
      </c>
      <c r="D33" s="1212"/>
      <c r="E33" s="93"/>
      <c r="F33" s="93"/>
      <c r="G33" s="93"/>
    </row>
    <row r="34" spans="1:7" ht="14.25">
      <c r="A34" s="1204"/>
      <c r="B34" s="1204"/>
      <c r="C34" s="1218" t="s">
        <v>748</v>
      </c>
      <c r="D34" s="1212" t="s">
        <v>622</v>
      </c>
      <c r="E34" s="1302"/>
      <c r="F34" s="1303"/>
      <c r="G34" s="1304">
        <v>519.3929296</v>
      </c>
    </row>
    <row r="35" spans="1:7" ht="14.25">
      <c r="A35" s="1204"/>
      <c r="B35" s="1204"/>
      <c r="C35" s="1218" t="s">
        <v>750</v>
      </c>
      <c r="D35" s="1212" t="s">
        <v>622</v>
      </c>
      <c r="E35" s="1302"/>
      <c r="F35" s="1303"/>
      <c r="G35" s="1304">
        <v>3560.4307965</v>
      </c>
    </row>
    <row r="36" spans="1:7" ht="15" thickBot="1">
      <c r="A36" s="1204"/>
      <c r="B36" s="1204"/>
      <c r="C36" s="1218" t="s">
        <v>751</v>
      </c>
      <c r="D36" s="1212" t="s">
        <v>622</v>
      </c>
      <c r="E36" s="1302"/>
      <c r="F36" s="1303"/>
      <c r="G36" s="1304">
        <v>11135.698339690003</v>
      </c>
    </row>
    <row r="37" spans="1:7" ht="15" thickBot="1">
      <c r="A37" s="1204"/>
      <c r="B37" s="1204"/>
      <c r="C37" s="1219" t="s">
        <v>757</v>
      </c>
      <c r="D37" s="1212"/>
      <c r="E37" s="1220">
        <v>0</v>
      </c>
      <c r="F37" s="1220">
        <v>0</v>
      </c>
      <c r="G37" s="1220">
        <v>15215.522065790003</v>
      </c>
    </row>
    <row r="38" spans="1:7" ht="14.25">
      <c r="A38" s="1204"/>
      <c r="B38" s="1204"/>
      <c r="C38" s="1218"/>
      <c r="D38" s="1212"/>
      <c r="E38" s="1217"/>
      <c r="F38" s="1205"/>
      <c r="G38" s="1205"/>
    </row>
    <row r="39" spans="1:7" ht="14.25">
      <c r="A39" s="1204"/>
      <c r="B39" s="1204"/>
      <c r="C39" s="1219" t="s">
        <v>623</v>
      </c>
      <c r="D39" s="1212"/>
      <c r="E39" s="1217"/>
      <c r="F39" s="1205"/>
      <c r="G39" s="1205"/>
    </row>
    <row r="40" spans="1:7" ht="14.25">
      <c r="A40" s="1204"/>
      <c r="B40" s="1204"/>
      <c r="C40" s="1218" t="s">
        <v>624</v>
      </c>
      <c r="D40" s="1212" t="s">
        <v>625</v>
      </c>
      <c r="E40" s="1302"/>
      <c r="F40" s="1303"/>
      <c r="G40" s="1304">
        <v>1023.462</v>
      </c>
    </row>
    <row r="41" spans="1:7" ht="14.25">
      <c r="A41" s="1204"/>
      <c r="B41" s="1204"/>
      <c r="C41" s="1218" t="s">
        <v>626</v>
      </c>
      <c r="D41" s="1212" t="s">
        <v>627</v>
      </c>
      <c r="E41" s="1302"/>
      <c r="F41" s="1303"/>
      <c r="G41" s="1305">
        <v>0.06726433674603337</v>
      </c>
    </row>
    <row r="42" spans="1:7" ht="14.25">
      <c r="A42" s="1204"/>
      <c r="B42" s="1204"/>
      <c r="C42" s="1218"/>
      <c r="D42" s="1212"/>
      <c r="E42" s="93"/>
      <c r="F42" s="93"/>
      <c r="G42" s="93"/>
    </row>
    <row r="43" spans="1:7" ht="15.75" thickBot="1">
      <c r="A43" s="1204"/>
      <c r="B43" s="1204"/>
      <c r="C43" s="1211"/>
      <c r="D43" s="1213"/>
      <c r="E43" s="1214"/>
      <c r="F43" s="1215"/>
      <c r="G43" s="1215"/>
    </row>
    <row r="44" spans="1:7" ht="15">
      <c r="A44" s="1204"/>
      <c r="B44" s="1204"/>
      <c r="C44" s="1216" t="s">
        <v>628</v>
      </c>
      <c r="D44" s="1212"/>
      <c r="E44" s="93"/>
      <c r="F44" s="93"/>
      <c r="G44" s="93"/>
    </row>
    <row r="45" spans="1:7" ht="14.25">
      <c r="A45" s="1204"/>
      <c r="B45" s="1204"/>
      <c r="C45" s="1218"/>
      <c r="D45" s="1212"/>
      <c r="E45" s="93"/>
      <c r="F45" s="93"/>
      <c r="G45" s="93"/>
    </row>
    <row r="46" spans="1:7" ht="14.25">
      <c r="A46" s="1204"/>
      <c r="B46" s="1204"/>
      <c r="C46" s="1219" t="s">
        <v>615</v>
      </c>
      <c r="D46" s="1212"/>
      <c r="E46" s="93"/>
      <c r="F46" s="93"/>
      <c r="G46" s="93"/>
    </row>
    <row r="47" spans="1:7" ht="14.25">
      <c r="A47" s="1204"/>
      <c r="B47" s="1204"/>
      <c r="C47" s="1218" t="s">
        <v>754</v>
      </c>
      <c r="D47" s="1212" t="s">
        <v>616</v>
      </c>
      <c r="E47" s="1302"/>
      <c r="F47" s="1303"/>
      <c r="G47" s="1306">
        <v>1442.1</v>
      </c>
    </row>
    <row r="48" spans="1:7" ht="14.25">
      <c r="A48" s="1204"/>
      <c r="B48" s="1204"/>
      <c r="C48" s="1218" t="s">
        <v>756</v>
      </c>
      <c r="D48" s="1212" t="s">
        <v>616</v>
      </c>
      <c r="E48" s="1302"/>
      <c r="F48" s="1303"/>
      <c r="G48" s="1306">
        <v>2900</v>
      </c>
    </row>
    <row r="49" spans="1:7" ht="14.25">
      <c r="A49" s="1204"/>
      <c r="B49" s="1204"/>
      <c r="C49" s="1218" t="s">
        <v>750</v>
      </c>
      <c r="D49" s="1212" t="s">
        <v>616</v>
      </c>
      <c r="E49" s="1302"/>
      <c r="F49" s="1303"/>
      <c r="G49" s="1306">
        <v>16591</v>
      </c>
    </row>
    <row r="50" spans="1:7" ht="15" thickBot="1">
      <c r="A50" s="1204"/>
      <c r="B50" s="1204"/>
      <c r="C50" s="1218" t="s">
        <v>751</v>
      </c>
      <c r="D50" s="1212" t="s">
        <v>616</v>
      </c>
      <c r="E50" s="1302"/>
      <c r="F50" s="1303"/>
      <c r="G50" s="1306">
        <v>7460</v>
      </c>
    </row>
    <row r="51" spans="1:7" ht="15" thickBot="1">
      <c r="A51" s="1204"/>
      <c r="B51" s="1204"/>
      <c r="C51" s="1219" t="s">
        <v>757</v>
      </c>
      <c r="D51" s="1212" t="s">
        <v>616</v>
      </c>
      <c r="E51" s="1220">
        <v>0</v>
      </c>
      <c r="F51" s="1220">
        <v>0</v>
      </c>
      <c r="G51" s="1220">
        <v>28393.1</v>
      </c>
    </row>
    <row r="52" spans="1:7" ht="14.25">
      <c r="A52" s="1204"/>
      <c r="B52" s="1204"/>
      <c r="C52" s="1218"/>
      <c r="D52" s="1212"/>
      <c r="E52" s="93"/>
      <c r="F52" s="93"/>
      <c r="G52" s="93"/>
    </row>
    <row r="53" spans="1:7" ht="14.25">
      <c r="A53" s="1204"/>
      <c r="B53" s="1204"/>
      <c r="C53" s="1219" t="s">
        <v>617</v>
      </c>
      <c r="D53" s="1212"/>
      <c r="E53" s="93"/>
      <c r="F53" s="93"/>
      <c r="G53" s="93"/>
    </row>
    <row r="54" spans="1:7" ht="14.25">
      <c r="A54" s="1204"/>
      <c r="B54" s="1204"/>
      <c r="C54" s="1218" t="s">
        <v>754</v>
      </c>
      <c r="D54" s="1212" t="s">
        <v>616</v>
      </c>
      <c r="E54" s="1302"/>
      <c r="F54" s="1303"/>
      <c r="G54" s="1306">
        <v>75.43</v>
      </c>
    </row>
    <row r="55" spans="1:7" ht="14.25">
      <c r="A55" s="1204"/>
      <c r="B55" s="1204"/>
      <c r="C55" s="1218" t="s">
        <v>756</v>
      </c>
      <c r="D55" s="1212" t="s">
        <v>616</v>
      </c>
      <c r="E55" s="1302"/>
      <c r="F55" s="1303"/>
      <c r="G55" s="1306">
        <v>910.305</v>
      </c>
    </row>
    <row r="56" spans="1:7" ht="14.25">
      <c r="A56" s="1204"/>
      <c r="B56" s="1204"/>
      <c r="C56" s="1218" t="s">
        <v>750</v>
      </c>
      <c r="D56" s="1212" t="s">
        <v>616</v>
      </c>
      <c r="E56" s="1302"/>
      <c r="F56" s="1303"/>
      <c r="G56" s="1306">
        <v>6485.3</v>
      </c>
    </row>
    <row r="57" spans="1:7" ht="15" thickBot="1">
      <c r="A57" s="1204"/>
      <c r="B57" s="1204"/>
      <c r="C57" s="1218" t="s">
        <v>751</v>
      </c>
      <c r="D57" s="1212" t="s">
        <v>616</v>
      </c>
      <c r="E57" s="1302"/>
      <c r="F57" s="1303"/>
      <c r="G57" s="1306">
        <v>13748.322</v>
      </c>
    </row>
    <row r="58" spans="1:7" ht="15" thickBot="1">
      <c r="A58" s="1204"/>
      <c r="B58" s="1204"/>
      <c r="C58" s="1218" t="s">
        <v>757</v>
      </c>
      <c r="D58" s="1212" t="s">
        <v>616</v>
      </c>
      <c r="E58" s="1220">
        <v>0</v>
      </c>
      <c r="F58" s="1220">
        <v>0</v>
      </c>
      <c r="G58" s="1220">
        <v>21219.356999999996</v>
      </c>
    </row>
    <row r="59" spans="1:7" ht="14.25">
      <c r="A59" s="1204"/>
      <c r="B59" s="1204"/>
      <c r="C59" s="1218"/>
      <c r="D59" s="1212"/>
      <c r="E59" s="93"/>
      <c r="F59" s="93"/>
      <c r="G59" s="93"/>
    </row>
    <row r="60" spans="1:7" ht="14.25">
      <c r="A60" s="1204"/>
      <c r="B60" s="1204"/>
      <c r="C60" s="1219" t="s">
        <v>618</v>
      </c>
      <c r="D60" s="1212"/>
      <c r="E60" s="93"/>
      <c r="F60" s="93"/>
      <c r="G60" s="93"/>
    </row>
    <row r="61" spans="1:7" ht="14.25">
      <c r="A61" s="1204"/>
      <c r="B61" s="1204"/>
      <c r="C61" s="1218" t="s">
        <v>754</v>
      </c>
      <c r="D61" s="1212" t="s">
        <v>616</v>
      </c>
      <c r="E61" s="1306">
        <v>0</v>
      </c>
      <c r="F61" s="1306">
        <v>0</v>
      </c>
      <c r="G61" s="1306">
        <v>1517.53</v>
      </c>
    </row>
    <row r="62" spans="1:7" ht="14.25">
      <c r="A62" s="1204"/>
      <c r="B62" s="1204"/>
      <c r="C62" s="1218" t="s">
        <v>756</v>
      </c>
      <c r="D62" s="1212" t="s">
        <v>616</v>
      </c>
      <c r="E62" s="1306">
        <v>0</v>
      </c>
      <c r="F62" s="1306">
        <v>0</v>
      </c>
      <c r="G62" s="1306">
        <v>3810.3050000000003</v>
      </c>
    </row>
    <row r="63" spans="1:7" ht="14.25">
      <c r="A63" s="1204"/>
      <c r="B63" s="1204"/>
      <c r="C63" s="1218" t="s">
        <v>750</v>
      </c>
      <c r="D63" s="1212" t="s">
        <v>616</v>
      </c>
      <c r="E63" s="1306">
        <v>0</v>
      </c>
      <c r="F63" s="1306">
        <v>0</v>
      </c>
      <c r="G63" s="1306">
        <v>23076.3</v>
      </c>
    </row>
    <row r="64" spans="1:7" ht="15" thickBot="1">
      <c r="A64" s="1204"/>
      <c r="B64" s="1204"/>
      <c r="C64" s="1218" t="s">
        <v>751</v>
      </c>
      <c r="D64" s="1212" t="s">
        <v>616</v>
      </c>
      <c r="E64" s="1306">
        <v>0</v>
      </c>
      <c r="F64" s="1306">
        <v>0</v>
      </c>
      <c r="G64" s="1306">
        <v>21208.322</v>
      </c>
    </row>
    <row r="65" spans="1:7" ht="15" thickBot="1">
      <c r="A65" s="1204"/>
      <c r="B65" s="1204"/>
      <c r="C65" s="1219" t="s">
        <v>757</v>
      </c>
      <c r="D65" s="1212" t="s">
        <v>616</v>
      </c>
      <c r="E65" s="1220">
        <v>0</v>
      </c>
      <c r="F65" s="1220">
        <v>0</v>
      </c>
      <c r="G65" s="1220">
        <v>49612.456999999995</v>
      </c>
    </row>
    <row r="66" spans="1:7" ht="14.25">
      <c r="A66" s="1204"/>
      <c r="B66" s="1204"/>
      <c r="C66" s="1218"/>
      <c r="D66" s="1212"/>
      <c r="E66" s="93"/>
      <c r="F66" s="93"/>
      <c r="G66" s="93"/>
    </row>
    <row r="67" spans="1:7" ht="14.25">
      <c r="A67" s="1204"/>
      <c r="B67" s="1204"/>
      <c r="C67" s="1219" t="s">
        <v>619</v>
      </c>
      <c r="D67" s="1212"/>
      <c r="E67" s="93"/>
      <c r="F67" s="93"/>
      <c r="G67" s="93"/>
    </row>
    <row r="68" spans="1:7" ht="14.25">
      <c r="A68" s="1204"/>
      <c r="B68" s="1204"/>
      <c r="C68" s="1218" t="s">
        <v>754</v>
      </c>
      <c r="D68" s="1212" t="s">
        <v>620</v>
      </c>
      <c r="E68" s="1302"/>
      <c r="F68" s="1303"/>
      <c r="G68" s="1304">
        <v>58</v>
      </c>
    </row>
    <row r="69" spans="1:7" ht="14.25">
      <c r="A69" s="1204"/>
      <c r="B69" s="1204"/>
      <c r="C69" s="1218" t="s">
        <v>654</v>
      </c>
      <c r="D69" s="1212" t="s">
        <v>620</v>
      </c>
      <c r="E69" s="1302"/>
      <c r="F69" s="1303"/>
      <c r="G69" s="1304">
        <v>315</v>
      </c>
    </row>
    <row r="70" spans="1:7" ht="14.25">
      <c r="A70" s="1204"/>
      <c r="B70" s="1204"/>
      <c r="C70" s="1218" t="s">
        <v>523</v>
      </c>
      <c r="D70" s="1212" t="s">
        <v>620</v>
      </c>
      <c r="E70" s="1302"/>
      <c r="F70" s="1303"/>
      <c r="G70" s="1304">
        <v>1</v>
      </c>
    </row>
    <row r="71" spans="1:7" ht="14.25">
      <c r="A71" s="1204"/>
      <c r="B71" s="1204"/>
      <c r="C71" s="1218" t="s">
        <v>524</v>
      </c>
      <c r="D71" s="1212" t="s">
        <v>620</v>
      </c>
      <c r="E71" s="1302"/>
      <c r="F71" s="1303"/>
      <c r="G71" s="1304">
        <v>12432</v>
      </c>
    </row>
    <row r="72" spans="1:7" ht="15" thickBot="1">
      <c r="A72" s="1204"/>
      <c r="B72" s="1204"/>
      <c r="C72" s="1218" t="s">
        <v>525</v>
      </c>
      <c r="D72" s="1212" t="s">
        <v>620</v>
      </c>
      <c r="E72" s="1302"/>
      <c r="F72" s="1303"/>
      <c r="G72" s="1304">
        <v>37737</v>
      </c>
    </row>
    <row r="73" spans="1:7" ht="15" thickBot="1">
      <c r="A73" s="1204"/>
      <c r="B73" s="1204"/>
      <c r="C73" s="1219" t="s">
        <v>757</v>
      </c>
      <c r="D73" s="1212" t="s">
        <v>620</v>
      </c>
      <c r="E73" s="1220">
        <v>0</v>
      </c>
      <c r="F73" s="1220">
        <v>0</v>
      </c>
      <c r="G73" s="1220">
        <v>50543</v>
      </c>
    </row>
    <row r="74" spans="1:7" ht="15.75" thickBot="1">
      <c r="A74" s="1204"/>
      <c r="B74" s="1204"/>
      <c r="C74" s="1214"/>
      <c r="D74" s="1213"/>
      <c r="E74" s="1214"/>
      <c r="F74" s="1215"/>
      <c r="G74" s="1215"/>
    </row>
    <row r="75" spans="1:7" ht="14.25">
      <c r="A75" s="671"/>
      <c r="B75" s="671"/>
      <c r="C75" s="671"/>
      <c r="D75" s="671"/>
      <c r="E75" s="671"/>
      <c r="F75" s="671"/>
      <c r="G75" s="671"/>
    </row>
    <row r="76" spans="1:7" ht="14.25">
      <c r="A76" s="1204"/>
      <c r="B76" s="1204"/>
      <c r="C76" s="671"/>
      <c r="D76" s="671"/>
      <c r="E76" s="671"/>
      <c r="F76" s="671"/>
      <c r="G76" s="671"/>
    </row>
    <row r="77" spans="1:7" ht="14.25">
      <c r="A77" s="1204"/>
      <c r="B77" s="1204"/>
      <c r="C77" s="671"/>
      <c r="D77" s="671"/>
      <c r="E77" s="671"/>
      <c r="F77" s="671"/>
      <c r="G77" s="671"/>
    </row>
    <row r="78" spans="1:7" ht="14.25">
      <c r="A78" s="1204"/>
      <c r="B78" s="1204"/>
      <c r="C78" s="671"/>
      <c r="D78" s="671"/>
      <c r="E78" s="671"/>
      <c r="F78" s="671"/>
      <c r="G78" s="671"/>
    </row>
    <row r="79" spans="1:7" ht="14.25">
      <c r="A79" s="1204"/>
      <c r="B79" s="1204"/>
      <c r="C79" s="671"/>
      <c r="D79" s="671"/>
      <c r="E79" s="671"/>
      <c r="F79" s="671"/>
      <c r="G79" s="671"/>
    </row>
    <row r="80" spans="1:7" ht="14.25">
      <c r="A80" s="1204"/>
      <c r="B80" s="1204"/>
      <c r="C80" s="671"/>
      <c r="D80" s="671"/>
      <c r="E80" s="671"/>
      <c r="F80" s="671"/>
      <c r="G80" s="671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A2">
      <selection activeCell="L36" sqref="L36"/>
    </sheetView>
  </sheetViews>
  <sheetFormatPr defaultColWidth="9.140625" defaultRowHeight="12.75"/>
  <cols>
    <col min="1" max="2" width="9.421875" style="124" customWidth="1"/>
    <col min="3" max="3" width="58.00390625" style="124" bestFit="1" customWidth="1"/>
    <col min="4" max="4" width="14.8515625" style="124" bestFit="1" customWidth="1"/>
    <col min="5" max="6" width="7.7109375" style="124" bestFit="1" customWidth="1"/>
    <col min="7" max="7" width="7.7109375" style="124" customWidth="1"/>
    <col min="8" max="8" width="6.421875" style="124" bestFit="1" customWidth="1"/>
    <col min="9" max="9" width="11.8515625" style="124" customWidth="1"/>
    <col min="10" max="10" width="11.8515625" style="147" customWidth="1"/>
    <col min="11" max="11" width="7.7109375" style="124" customWidth="1"/>
    <col min="12" max="12" width="20.421875" style="124" bestFit="1" customWidth="1"/>
    <col min="13" max="13" width="11.421875" style="124" customWidth="1"/>
    <col min="14" max="14" width="18.8515625" style="124" customWidth="1"/>
    <col min="15" max="15" width="7.421875" style="124" customWidth="1"/>
    <col min="16" max="16" width="8.00390625" style="124" bestFit="1" customWidth="1"/>
    <col min="17" max="18" width="8.00390625" style="124" customWidth="1"/>
    <col min="19" max="19" width="17.8515625" style="124" customWidth="1"/>
    <col min="20" max="20" width="7.7109375" style="124" bestFit="1" customWidth="1"/>
    <col min="21" max="21" width="7.7109375" style="124" customWidth="1"/>
    <col min="22" max="23" width="18.140625" style="124" customWidth="1"/>
    <col min="24" max="24" width="24.28125" style="124" customWidth="1"/>
    <col min="25" max="25" width="13.140625" style="124" customWidth="1"/>
    <col min="26" max="26" width="10.28125" style="124" customWidth="1"/>
    <col min="27" max="27" width="7.28125" style="124" customWidth="1"/>
    <col min="28" max="28" width="8.7109375" style="124" customWidth="1"/>
    <col min="29" max="29" width="6.8515625" style="124" customWidth="1"/>
    <col min="30" max="30" width="27.00390625" style="124" customWidth="1"/>
    <col min="31" max="34" width="13.7109375" style="124" customWidth="1"/>
    <col min="35" max="35" width="15.00390625" style="124" customWidth="1"/>
    <col min="36" max="36" width="16.421875" style="124" customWidth="1"/>
    <col min="37" max="37" width="26.7109375" style="124" customWidth="1"/>
    <col min="38" max="38" width="7.7109375" style="124" bestFit="1" customWidth="1"/>
    <col min="39" max="39" width="7.7109375" style="124" customWidth="1"/>
    <col min="40" max="40" width="23.7109375" style="124" customWidth="1"/>
    <col min="41" max="41" width="12.140625" style="124" customWidth="1"/>
    <col min="42" max="42" width="10.8515625" style="124" customWidth="1"/>
    <col min="43" max="43" width="13.421875" style="124" customWidth="1"/>
    <col min="44" max="45" width="9.421875" style="124" customWidth="1"/>
    <col min="46" max="46" width="23.421875" style="124" customWidth="1"/>
    <col min="47" max="47" width="6.8515625" style="124" bestFit="1" customWidth="1"/>
    <col min="48" max="49" width="7.28125" style="124" customWidth="1"/>
    <col min="50" max="50" width="23.421875" style="124" bestFit="1" customWidth="1"/>
    <col min="51" max="51" width="4.28125" style="124" customWidth="1"/>
    <col min="52" max="52" width="22.7109375" style="124" bestFit="1" customWidth="1"/>
    <col min="53" max="53" width="24.140625" style="124" customWidth="1"/>
    <col min="54" max="16384" width="9.140625" style="124" customWidth="1"/>
  </cols>
  <sheetData>
    <row r="1" ht="12.75">
      <c r="A1" s="389" t="s">
        <v>776</v>
      </c>
    </row>
    <row r="2" spans="4:44" s="352" customFormat="1" ht="63.75" customHeight="1" thickBot="1">
      <c r="D2" s="1460" t="s">
        <v>8</v>
      </c>
      <c r="E2" s="1460"/>
      <c r="F2" s="1460"/>
      <c r="G2" s="1460"/>
      <c r="H2" s="1460"/>
      <c r="I2" s="1460"/>
      <c r="J2" s="353"/>
      <c r="L2" s="1460" t="s">
        <v>9</v>
      </c>
      <c r="M2" s="1460"/>
      <c r="N2" s="1460"/>
      <c r="O2" s="1460"/>
      <c r="P2" s="1460"/>
      <c r="S2" s="1460" t="s">
        <v>120</v>
      </c>
      <c r="T2" s="1460"/>
      <c r="U2" s="1460"/>
      <c r="V2" s="1460"/>
      <c r="Y2" s="1460" t="s">
        <v>121</v>
      </c>
      <c r="Z2" s="1460"/>
      <c r="AA2" s="1460"/>
      <c r="AB2" s="1460"/>
      <c r="AE2" s="1460" t="s">
        <v>377</v>
      </c>
      <c r="AF2" s="1460"/>
      <c r="AG2" s="1460"/>
      <c r="AH2" s="1460"/>
      <c r="AJ2" s="1460" t="s">
        <v>98</v>
      </c>
      <c r="AK2" s="1460"/>
      <c r="AL2" s="1460"/>
      <c r="AM2" s="1460"/>
      <c r="AN2" s="1460"/>
      <c r="AO2" s="1460"/>
      <c r="AP2" s="1460"/>
      <c r="AQ2" s="1460"/>
      <c r="AR2" s="1460"/>
    </row>
    <row r="3" spans="1:53" s="93" customFormat="1" ht="24" customHeight="1">
      <c r="A3" s="88"/>
      <c r="B3" s="89"/>
      <c r="C3" s="89"/>
      <c r="D3" s="163"/>
      <c r="E3" s="1439" t="s">
        <v>316</v>
      </c>
      <c r="F3" s="1440"/>
      <c r="G3" s="1440"/>
      <c r="H3" s="1440"/>
      <c r="I3" s="1441"/>
      <c r="J3" s="140"/>
      <c r="K3" s="90"/>
      <c r="L3" s="1444" t="s">
        <v>15</v>
      </c>
      <c r="M3" s="1445"/>
      <c r="N3" s="1445"/>
      <c r="O3" s="1445"/>
      <c r="P3" s="1446"/>
      <c r="Q3" s="91"/>
      <c r="R3" s="91"/>
      <c r="S3" s="1444" t="s">
        <v>287</v>
      </c>
      <c r="T3" s="1445"/>
      <c r="U3" s="1445"/>
      <c r="V3" s="1446"/>
      <c r="W3" s="157"/>
      <c r="X3" s="89"/>
      <c r="Y3" s="1452" t="s">
        <v>317</v>
      </c>
      <c r="Z3" s="1453"/>
      <c r="AA3" s="1453"/>
      <c r="AB3" s="1454"/>
      <c r="AC3" s="92"/>
      <c r="AD3" s="157"/>
      <c r="AE3" s="1442" t="s">
        <v>571</v>
      </c>
      <c r="AF3" s="1443"/>
      <c r="AG3" s="1443"/>
      <c r="AH3" s="1443"/>
      <c r="AI3" s="197"/>
      <c r="AJ3" s="1458" t="s">
        <v>14</v>
      </c>
      <c r="AK3" s="1456"/>
      <c r="AL3" s="1457"/>
      <c r="AM3" s="91"/>
      <c r="AN3" s="91"/>
      <c r="AO3" s="1459" t="s">
        <v>572</v>
      </c>
      <c r="AP3" s="1453"/>
      <c r="AQ3" s="1453"/>
      <c r="AR3" s="1454"/>
      <c r="AS3" s="202"/>
      <c r="AT3" s="92"/>
      <c r="AU3" s="1455" t="s">
        <v>24</v>
      </c>
      <c r="AV3" s="1456"/>
      <c r="AW3" s="1456"/>
      <c r="AX3" s="1457"/>
      <c r="AZ3" s="94"/>
      <c r="BA3" s="94"/>
    </row>
    <row r="4" spans="1:53" s="131" customFormat="1" ht="63.75">
      <c r="A4" s="125"/>
      <c r="B4" s="126"/>
      <c r="C4" s="126"/>
      <c r="D4" s="129" t="s">
        <v>157</v>
      </c>
      <c r="E4" s="1437" t="s">
        <v>6</v>
      </c>
      <c r="F4" s="1438"/>
      <c r="G4" s="1438"/>
      <c r="H4" s="1438"/>
      <c r="I4" s="130" t="s">
        <v>5</v>
      </c>
      <c r="J4" s="141"/>
      <c r="K4" s="126"/>
      <c r="L4" s="150" t="s">
        <v>56</v>
      </c>
      <c r="M4" s="1448" t="s">
        <v>168</v>
      </c>
      <c r="N4" s="1449"/>
      <c r="O4" s="1449"/>
      <c r="P4" s="1450"/>
      <c r="Q4" s="96"/>
      <c r="R4" s="127"/>
      <c r="S4" s="167"/>
      <c r="T4" s="168"/>
      <c r="U4" s="168"/>
      <c r="V4" s="169"/>
      <c r="W4" s="126"/>
      <c r="X4" s="127"/>
      <c r="Y4" s="167"/>
      <c r="Z4" s="168"/>
      <c r="AA4" s="168"/>
      <c r="AB4" s="169"/>
      <c r="AC4" s="127"/>
      <c r="AD4" s="127"/>
      <c r="AE4" s="167"/>
      <c r="AF4" s="168"/>
      <c r="AG4" s="168"/>
      <c r="AH4" s="169"/>
      <c r="AI4" s="127"/>
      <c r="AJ4" s="84" t="s">
        <v>4</v>
      </c>
      <c r="AK4" s="127" t="s">
        <v>264</v>
      </c>
      <c r="AL4" s="128" t="s">
        <v>263</v>
      </c>
      <c r="AM4" s="126"/>
      <c r="AN4" s="126"/>
      <c r="AO4" s="333" t="s">
        <v>756</v>
      </c>
      <c r="AP4" s="295" t="s">
        <v>750</v>
      </c>
      <c r="AQ4" s="295" t="s">
        <v>25</v>
      </c>
      <c r="AR4" s="334" t="s">
        <v>751</v>
      </c>
      <c r="AS4" s="127"/>
      <c r="AT4" s="127"/>
      <c r="AU4" s="333" t="s">
        <v>756</v>
      </c>
      <c r="AV4" s="295" t="s">
        <v>750</v>
      </c>
      <c r="AW4" s="295" t="s">
        <v>25</v>
      </c>
      <c r="AX4" s="334" t="s">
        <v>751</v>
      </c>
      <c r="AZ4" s="328"/>
      <c r="BA4" s="132"/>
    </row>
    <row r="5" spans="1:53" s="131" customFormat="1" ht="15">
      <c r="A5" s="126"/>
      <c r="B5" s="126"/>
      <c r="C5" s="126"/>
      <c r="D5" s="129"/>
      <c r="E5" s="127" t="s">
        <v>756</v>
      </c>
      <c r="F5" s="127" t="s">
        <v>750</v>
      </c>
      <c r="G5" s="127" t="s">
        <v>25</v>
      </c>
      <c r="H5" s="127" t="s">
        <v>751</v>
      </c>
      <c r="I5" s="130"/>
      <c r="J5" s="141"/>
      <c r="K5" s="126"/>
      <c r="L5" s="161"/>
      <c r="M5" s="162" t="s">
        <v>756</v>
      </c>
      <c r="N5" s="161" t="s">
        <v>750</v>
      </c>
      <c r="O5" s="161" t="s">
        <v>25</v>
      </c>
      <c r="P5" s="161" t="s">
        <v>751</v>
      </c>
      <c r="Q5" s="96"/>
      <c r="R5" s="127"/>
      <c r="S5" s="165" t="s">
        <v>756</v>
      </c>
      <c r="T5" s="158" t="s">
        <v>750</v>
      </c>
      <c r="U5" s="158" t="s">
        <v>25</v>
      </c>
      <c r="V5" s="166" t="s">
        <v>751</v>
      </c>
      <c r="W5" s="127"/>
      <c r="X5" s="127"/>
      <c r="Y5" s="288" t="s">
        <v>756</v>
      </c>
      <c r="Z5" s="289" t="s">
        <v>750</v>
      </c>
      <c r="AA5" s="289" t="s">
        <v>25</v>
      </c>
      <c r="AB5" s="290" t="s">
        <v>751</v>
      </c>
      <c r="AC5" s="127"/>
      <c r="AD5" s="127"/>
      <c r="AE5" s="288" t="s">
        <v>756</v>
      </c>
      <c r="AF5" s="289" t="s">
        <v>750</v>
      </c>
      <c r="AG5" s="289" t="s">
        <v>25</v>
      </c>
      <c r="AH5" s="290" t="s">
        <v>751</v>
      </c>
      <c r="AI5" s="127"/>
      <c r="AJ5" s="294"/>
      <c r="AK5" s="295"/>
      <c r="AL5" s="169"/>
      <c r="AM5" s="126"/>
      <c r="AN5" s="126"/>
      <c r="AO5" s="333"/>
      <c r="AP5" s="295"/>
      <c r="AQ5" s="295"/>
      <c r="AR5" s="334"/>
      <c r="AS5" s="127"/>
      <c r="AT5" s="127"/>
      <c r="AU5" s="333"/>
      <c r="AV5" s="295"/>
      <c r="AW5" s="295"/>
      <c r="AX5" s="334"/>
      <c r="AZ5" s="328"/>
      <c r="BA5" s="132"/>
    </row>
    <row r="6" spans="1:53" s="93" customFormat="1" ht="51" customHeight="1">
      <c r="A6" s="113" t="s">
        <v>144</v>
      </c>
      <c r="B6" s="103" t="s">
        <v>252</v>
      </c>
      <c r="C6" s="136" t="s">
        <v>359</v>
      </c>
      <c r="D6" s="150">
        <f>'RRP 1.3'!D$12</f>
        <v>1.4000000000000075</v>
      </c>
      <c r="E6" s="150">
        <f>'RRP 2.4'!L13+'RRP 2.4'!L14+'RRP 2.4'!L18+'RRP 2.4'!L19</f>
        <v>4.9</v>
      </c>
      <c r="F6" s="150">
        <f>'RRP 2.4'!L12+'RRP 2.4'!L17-'Calc - WPD Opex Allocation'!G6</f>
        <v>4.1</v>
      </c>
      <c r="G6" s="150">
        <v>0</v>
      </c>
      <c r="H6" s="150">
        <f>'RRP 2.4'!L11+'RRP 2.4'!L16+'RRP 2.4'!L24</f>
        <v>-7.600000000000001</v>
      </c>
      <c r="I6" s="150">
        <f aca="true" t="shared" si="0" ref="I6:I39">D6-E6-F6-G6-H6</f>
        <v>8.881784197001252E-15</v>
      </c>
      <c r="J6" s="148"/>
      <c r="K6" s="96"/>
      <c r="L6" s="150" t="s">
        <v>232</v>
      </c>
      <c r="M6" s="286">
        <f>IF(ISERROR(VLOOKUP($L6,'Calc-Drivers'!$B$17:$F$27,M$42,FALSE))," ",VLOOKUP($L6,'Calc-Drivers'!$B$17:$F$27,M$42,FALSE))</f>
        <v>0.2196109260751124</v>
      </c>
      <c r="N6" s="286">
        <f>IF(ISERROR(VLOOKUP($L6,'Calc-Drivers'!$B$17:$F$27,N$42,FALSE))," ",VLOOKUP($L6,'Calc-Drivers'!$B$17:$F$27,N$42,FALSE))</f>
        <v>0.25684360461638045</v>
      </c>
      <c r="O6" s="286">
        <f>IF(ISERROR(VLOOKUP($L6,'Calc-Drivers'!$B$17:$F$27,O$42,FALSE))," ",VLOOKUP($L6,'Calc-Drivers'!$B$17:$F$27,O$42,FALSE))</f>
        <v>0.07187951420551468</v>
      </c>
      <c r="P6" s="286">
        <f>IF(ISERROR(VLOOKUP($L6,'Calc-Drivers'!$B$17:$F$27,P$42,FALSE))," ",VLOOKUP($L6,'Calc-Drivers'!$B$17:$F$27,P$42,FALSE))</f>
        <v>0.4516659551029927</v>
      </c>
      <c r="Q6" s="178"/>
      <c r="R6" s="98"/>
      <c r="S6" s="174">
        <f aca="true" t="shared" si="1" ref="S6:S38">IF(ISERROR($I6*M6)," ",$I6*M6)</f>
        <v>1.9505368527027437E-15</v>
      </c>
      <c r="T6" s="174">
        <f aca="true" t="shared" si="2" ref="T6:T38">IF(ISERROR($I6*N6)," ",$I6*N6)</f>
        <v>2.2812294685826058E-15</v>
      </c>
      <c r="U6" s="174">
        <f aca="true" t="shared" si="3" ref="U6:U38">IF(ISERROR($I6*O6)," ",$I6*O6)</f>
        <v>6.384183333586673E-16</v>
      </c>
      <c r="V6" s="170">
        <f aca="true" t="shared" si="4" ref="V6:V38">IF(ISERROR($I6*P6)," ",$I6*P6)</f>
        <v>4.011599542357237E-15</v>
      </c>
      <c r="W6" s="100"/>
      <c r="X6" s="94"/>
      <c r="Y6" s="99">
        <f aca="true" t="shared" si="5" ref="Y6:Y38">IF($L6="Do not allocate"," ",S6+E6)</f>
        <v>4.900000000000002</v>
      </c>
      <c r="Z6" s="99">
        <f aca="true" t="shared" si="6" ref="Z6:Z38">IF($L6="Do not allocate"," ",T6+F6)</f>
        <v>4.100000000000002</v>
      </c>
      <c r="AA6" s="99">
        <f aca="true" t="shared" si="7" ref="AA6:AA38">IF($L6="Do not allocate"," ",U6+G6)</f>
        <v>6.384183333586673E-16</v>
      </c>
      <c r="AB6" s="171">
        <f aca="true" t="shared" si="8" ref="AB6:AB38">IF($L6="Do not allocate"," ",V6+H6)</f>
        <v>-7.599999999999997</v>
      </c>
      <c r="AC6" s="100"/>
      <c r="AD6" s="100"/>
      <c r="AE6" s="101">
        <f>IF(ISERROR(Y6*100000000/'Calc-Units'!$E$21)," ",Y6*100000000/'Calc-Units'!$E$21)</f>
        <v>0.03254152619295597</v>
      </c>
      <c r="AF6" s="101">
        <f>IF(ISERROR(Z6*100000000/'Calc-Units'!$D$21)," ",Z6*100000000/'Calc-Units'!$D$21)</f>
        <v>0.028146528122104872</v>
      </c>
      <c r="AG6" s="101">
        <f>IF(ISERROR(AA6*100000000/'Calc-Units'!$C$21)," ",AA6*100000000/'Calc-Units'!$C$21)</f>
        <v>5.733078554069737E-18</v>
      </c>
      <c r="AH6" s="291">
        <f>IF(ISERROR(AB6*100000000/'Calc-Units'!$C$21)," ",AB6*100000000/'Calc-Units'!$C$21)</f>
        <v>-0.06824897521614766</v>
      </c>
      <c r="AI6" s="102"/>
      <c r="AJ6" s="95">
        <v>1</v>
      </c>
      <c r="AK6" s="96">
        <f aca="true" t="shared" si="9" ref="AK6:AK38">AJ6*D6</f>
        <v>1.4000000000000075</v>
      </c>
      <c r="AL6" s="97">
        <f aca="true" t="shared" si="10" ref="AL6:AL38">D6*(1-AJ6)</f>
        <v>0</v>
      </c>
      <c r="AM6" s="96"/>
      <c r="AN6" s="96"/>
      <c r="AO6" s="99">
        <f>IF(ISERROR(Y6*(1-$AJ6))," ",Y6*(1-$AJ6))</f>
        <v>0</v>
      </c>
      <c r="AP6" s="99">
        <f>IF(ISERROR(Z6*(1-$AJ6))," ",Z6*(1-$AJ6))</f>
        <v>0</v>
      </c>
      <c r="AQ6" s="99">
        <f>IF(ISERROR(AA6*(1-$AJ6))," ",AA6*(1-$AJ6))</f>
        <v>0</v>
      </c>
      <c r="AR6" s="171">
        <f>IF(ISERROR(AB6*(1-$AJ6))," ",AB6*(1-$AJ6))</f>
        <v>0</v>
      </c>
      <c r="AS6" s="100"/>
      <c r="AT6" s="102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6"/>
      <c r="BA6" s="94"/>
    </row>
    <row r="7" spans="1:53" s="93" customFormat="1" ht="12.75">
      <c r="A7" s="111"/>
      <c r="B7" s="103"/>
      <c r="C7" s="137" t="s">
        <v>215</v>
      </c>
      <c r="D7" s="149">
        <f>'RRP 1.3'!E$12</f>
        <v>44.5</v>
      </c>
      <c r="E7" s="184">
        <f>SUM('RRP 2.4'!G44:G55)+'RRP 2.4'!G71+'RRP 2.4'!H71</f>
        <v>13.300000000000002</v>
      </c>
      <c r="F7" s="149">
        <f>SUM('RRP 2.4'!G38:G40)+'RRP 2.4'!F71</f>
        <v>14.899999999999999</v>
      </c>
      <c r="G7" s="149">
        <f>'RRP 2.4'!G41+'RRP 2.4'!G42+'RRP 2.4'!G43</f>
        <v>5</v>
      </c>
      <c r="H7" s="149">
        <f>SUM('RRP 2.4'!G31:G37)+'RRP 2.4'!E71</f>
        <v>12</v>
      </c>
      <c r="I7" s="149">
        <f t="shared" si="0"/>
        <v>-0.7000000000000028</v>
      </c>
      <c r="J7" s="148"/>
      <c r="K7" s="96"/>
      <c r="L7" s="149" t="s">
        <v>232</v>
      </c>
      <c r="M7" s="164">
        <f>IF(ISERROR(VLOOKUP($L7,'Calc-Drivers'!$B$17:$F$27,M$42,FALSE))," ",VLOOKUP($L7,'Calc-Drivers'!$B$17:$F$27,M$42,FALSE))</f>
        <v>0.2196109260751124</v>
      </c>
      <c r="N7" s="164">
        <f>IF(ISERROR(VLOOKUP($L7,'Calc-Drivers'!$B$17:$F$27,N$42,FALSE))," ",VLOOKUP($L7,'Calc-Drivers'!$B$17:$F$27,N$42,FALSE))</f>
        <v>0.25684360461638045</v>
      </c>
      <c r="O7" s="164">
        <f>IF(ISERROR(VLOOKUP($L7,'Calc-Drivers'!$B$17:$F$27,O$42,FALSE))," ",VLOOKUP($L7,'Calc-Drivers'!$B$17:$F$27,O$42,FALSE))</f>
        <v>0.07187951420551468</v>
      </c>
      <c r="P7" s="164">
        <f>IF(ISERROR(VLOOKUP($L7,'Calc-Drivers'!$B$17:$F$27,P$42,FALSE))," ",VLOOKUP($L7,'Calc-Drivers'!$B$17:$F$27,P$42,FALSE))</f>
        <v>0.4516659551029927</v>
      </c>
      <c r="Q7" s="178"/>
      <c r="R7" s="98"/>
      <c r="S7" s="99">
        <f t="shared" si="1"/>
        <v>-0.1537276482525793</v>
      </c>
      <c r="T7" s="99">
        <f t="shared" si="2"/>
        <v>-0.17979052323146705</v>
      </c>
      <c r="U7" s="99">
        <f t="shared" si="3"/>
        <v>-0.05031565994386048</v>
      </c>
      <c r="V7" s="171">
        <f t="shared" si="4"/>
        <v>-0.3161661685720962</v>
      </c>
      <c r="W7" s="100"/>
      <c r="X7" s="94"/>
      <c r="Y7" s="99">
        <f t="shared" si="5"/>
        <v>13.146272351747424</v>
      </c>
      <c r="Z7" s="99">
        <f t="shared" si="6"/>
        <v>14.720209476768531</v>
      </c>
      <c r="AA7" s="99">
        <f t="shared" si="7"/>
        <v>4.949684340056139</v>
      </c>
      <c r="AB7" s="171">
        <f t="shared" si="8"/>
        <v>11.683833831427904</v>
      </c>
      <c r="AC7" s="100"/>
      <c r="AD7" s="100"/>
      <c r="AE7" s="101">
        <f>IF(ISERROR(Y7*100000000/'Calc-Units'!$E$21)," ",Y7*100000000/'Calc-Units'!$E$21)</f>
        <v>0.0873060747090044</v>
      </c>
      <c r="AF7" s="101">
        <f>IF(ISERROR(Z7*100000000/'Calc-Units'!$D$21)," ",Z7*100000000/'Calc-Units'!$D$21)</f>
        <v>0.10105433902466826</v>
      </c>
      <c r="AG7" s="101">
        <f>IF(ISERROR(AA7*100000000/'Calc-Units'!$C$21)," ",AA7*100000000/'Calc-Units'!$C$21)</f>
        <v>0.04444880050687445</v>
      </c>
      <c r="AH7" s="291">
        <f>IF(ISERROR(AB7*100000000/'Calc-Units'!$C$21)," ",AB7*100000000/'Calc-Units'!$C$21)</f>
        <v>0.10492232705140933</v>
      </c>
      <c r="AI7" s="102"/>
      <c r="AJ7" s="95">
        <v>1</v>
      </c>
      <c r="AK7" s="96">
        <f t="shared" si="9"/>
        <v>44.5</v>
      </c>
      <c r="AL7" s="97">
        <f t="shared" si="10"/>
        <v>0</v>
      </c>
      <c r="AM7" s="96"/>
      <c r="AN7" s="96"/>
      <c r="AO7" s="99">
        <f aca="true" t="shared" si="11" ref="AO7:AO38">IF(ISERROR(Y7*(1-$AJ7))," ",Y7*(1-$AJ7))</f>
        <v>0</v>
      </c>
      <c r="AP7" s="99">
        <f aca="true" t="shared" si="12" ref="AP7:AP38">IF(ISERROR(Z7*(1-$AJ7))," ",Z7*(1-$AJ7))</f>
        <v>0</v>
      </c>
      <c r="AQ7" s="99">
        <f aca="true" t="shared" si="13" ref="AQ7:AQ38">IF(ISERROR(AA7*(1-$AJ7))," ",AA7*(1-$AJ7))</f>
        <v>0</v>
      </c>
      <c r="AR7" s="171">
        <f aca="true" t="shared" si="14" ref="AR7:AR38">IF(ISERROR(AB7*(1-$AJ7))," ",AB7*(1-$AJ7))</f>
        <v>0</v>
      </c>
      <c r="AS7" s="100"/>
      <c r="AT7" s="102"/>
      <c r="AU7" s="101">
        <f>IF(ISERROR(AO7*100000000/'Calc-Units'!$E$21)," ",AO7*100000000/'Calc-Units'!$E$21)</f>
        <v>0</v>
      </c>
      <c r="AV7" s="101">
        <f>IF(ISERROR(AP7*100000000/'Calc-Units'!$D$21)," ",AP7*100000000/'Calc-Units'!$D$21)</f>
        <v>0</v>
      </c>
      <c r="AW7" s="101">
        <f>IF(ISERROR(AQ7*100000000/'Calc-Units'!$C$21)," ",AQ7*100000000/'Calc-Units'!$C$21)</f>
        <v>0</v>
      </c>
      <c r="AX7" s="291">
        <f>IF(ISERROR(AR7*100000000/'Calc-Units'!$C$21)," ",AR7*100000000/'Calc-Units'!$C$21)</f>
        <v>0</v>
      </c>
      <c r="AZ7" s="106"/>
      <c r="BA7" s="94"/>
    </row>
    <row r="8" spans="1:53" s="93" customFormat="1" ht="12.75">
      <c r="A8" s="111"/>
      <c r="B8" s="103"/>
      <c r="C8" s="137" t="s">
        <v>108</v>
      </c>
      <c r="D8" s="149">
        <f>'RRP 1.3'!F$12</f>
        <v>14.9</v>
      </c>
      <c r="E8" s="149">
        <v>0</v>
      </c>
      <c r="F8" s="149">
        <v>0</v>
      </c>
      <c r="G8" s="149">
        <v>0</v>
      </c>
      <c r="H8" s="149">
        <v>0</v>
      </c>
      <c r="I8" s="149">
        <f t="shared" si="0"/>
        <v>14.9</v>
      </c>
      <c r="J8" s="142"/>
      <c r="K8" s="96"/>
      <c r="L8" s="149" t="s">
        <v>232</v>
      </c>
      <c r="M8" s="164">
        <f>IF(ISERROR(VLOOKUP($L8,'Calc-Drivers'!$B$17:$F$27,M$42,FALSE))," ",VLOOKUP($L8,'Calc-Drivers'!$B$17:$F$27,M$42,FALSE))</f>
        <v>0.2196109260751124</v>
      </c>
      <c r="N8" s="164">
        <f>IF(ISERROR(VLOOKUP($L8,'Calc-Drivers'!$B$17:$F$27,N$42,FALSE))," ",VLOOKUP($L8,'Calc-Drivers'!$B$17:$F$27,N$42,FALSE))</f>
        <v>0.25684360461638045</v>
      </c>
      <c r="O8" s="164">
        <f>IF(ISERROR(VLOOKUP($L8,'Calc-Drivers'!$B$17:$F$27,O$42,FALSE))," ",VLOOKUP($L8,'Calc-Drivers'!$B$17:$F$27,O$42,FALSE))</f>
        <v>0.07187951420551468</v>
      </c>
      <c r="P8" s="164">
        <f>IF(ISERROR(VLOOKUP($L8,'Calc-Drivers'!$B$17:$F$27,P$42,FALSE))," ",VLOOKUP($L8,'Calc-Drivers'!$B$17:$F$27,P$42,FALSE))</f>
        <v>0.4516659551029927</v>
      </c>
      <c r="Q8" s="178"/>
      <c r="R8" s="98"/>
      <c r="S8" s="99">
        <f t="shared" si="1"/>
        <v>3.272202798519175</v>
      </c>
      <c r="T8" s="99">
        <f t="shared" si="2"/>
        <v>3.826969708784069</v>
      </c>
      <c r="U8" s="99">
        <f t="shared" si="3"/>
        <v>1.0710047616621687</v>
      </c>
      <c r="V8" s="171">
        <f t="shared" si="4"/>
        <v>6.7298227310345915</v>
      </c>
      <c r="W8" s="100"/>
      <c r="X8" s="94"/>
      <c r="Y8" s="99">
        <f t="shared" si="5"/>
        <v>3.272202798519175</v>
      </c>
      <c r="Z8" s="99">
        <f t="shared" si="6"/>
        <v>3.826969708784069</v>
      </c>
      <c r="AA8" s="99">
        <f t="shared" si="7"/>
        <v>1.0710047616621687</v>
      </c>
      <c r="AB8" s="171">
        <f t="shared" si="8"/>
        <v>6.7298227310345915</v>
      </c>
      <c r="AC8" s="100"/>
      <c r="AD8" s="100"/>
      <c r="AE8" s="101">
        <f>IF(ISERROR(Y8*100000000/'Calc-Units'!$E$21)," ",Y8*100000000/'Calc-Units'!$E$21)</f>
        <v>0.021731116954423573</v>
      </c>
      <c r="AF8" s="101">
        <f>IF(ISERROR(Z8*100000000/'Calc-Units'!$D$21)," ",Z8*100000000/'Calc-Units'!$D$21)</f>
        <v>0.02627217330017908</v>
      </c>
      <c r="AG8" s="101">
        <f>IF(ISERROR(AA8*100000000/'Calc-Units'!$C$21)," ",AA8*100000000/'Calc-Units'!$C$21)</f>
        <v>0.00961776018882336</v>
      </c>
      <c r="AH8" s="291">
        <f>IF(ISERROR(AB8*100000000/'Calc-Units'!$C$21)," ",AB8*100000000/'Calc-Units'!$C$21)</f>
        <v>0.06043467168150621</v>
      </c>
      <c r="AI8" s="102"/>
      <c r="AJ8" s="95">
        <v>0.235</v>
      </c>
      <c r="AK8" s="96">
        <f t="shared" si="9"/>
        <v>3.5015</v>
      </c>
      <c r="AL8" s="97">
        <f t="shared" si="10"/>
        <v>11.3985</v>
      </c>
      <c r="AM8" s="96"/>
      <c r="AN8" s="96"/>
      <c r="AO8" s="99">
        <f t="shared" si="11"/>
        <v>2.5032351408671687</v>
      </c>
      <c r="AP8" s="99">
        <f t="shared" si="12"/>
        <v>2.9276318272198125</v>
      </c>
      <c r="AQ8" s="99">
        <f t="shared" si="13"/>
        <v>0.8193186426715591</v>
      </c>
      <c r="AR8" s="171">
        <f t="shared" si="14"/>
        <v>5.148314389241462</v>
      </c>
      <c r="AS8" s="100"/>
      <c r="AT8" s="102"/>
      <c r="AU8" s="101">
        <f>IF(ISERROR(AO8*100000000/'Calc-Units'!$E$21)," ",AO8*100000000/'Calc-Units'!$E$21)</f>
        <v>0.016624304470134032</v>
      </c>
      <c r="AV8" s="101">
        <f>IF(ISERROR(AP8*100000000/'Calc-Units'!$D$21)," ",AP8*100000000/'Calc-Units'!$D$21)</f>
        <v>0.02009821257463699</v>
      </c>
      <c r="AW8" s="101">
        <f>IF(ISERROR(AQ8*100000000/'Calc-Units'!$C$21)," ",AQ8*100000000/'Calc-Units'!$C$21)</f>
        <v>0.007357586544449868</v>
      </c>
      <c r="AX8" s="291">
        <f>IF(ISERROR(AR8*100000000/'Calc-Units'!$C$21)," ",AR8*100000000/'Calc-Units'!$C$21)</f>
        <v>0.04623252383635225</v>
      </c>
      <c r="AZ8" s="106"/>
      <c r="BA8" s="94"/>
    </row>
    <row r="9" spans="1:53" s="93" customFormat="1" ht="12.75">
      <c r="A9" s="111"/>
      <c r="B9" s="103"/>
      <c r="C9" s="137" t="s">
        <v>682</v>
      </c>
      <c r="D9" s="149">
        <f>'RRP 1.3'!G$12</f>
        <v>13.5</v>
      </c>
      <c r="E9" s="149">
        <f>SUM('RRP 2.3'!I20:I27)</f>
        <v>1</v>
      </c>
      <c r="F9" s="149">
        <f>SUM('RRP 2.3'!I17:I18)</f>
        <v>2.5</v>
      </c>
      <c r="G9" s="149">
        <f>SUM('RRP 2.3'!I19)</f>
        <v>0.4</v>
      </c>
      <c r="H9" s="149">
        <f>SUM('RRP 2.3'!I11:I16)</f>
        <v>8.499999999999998</v>
      </c>
      <c r="I9" s="149">
        <f t="shared" si="0"/>
        <v>1.1000000000000014</v>
      </c>
      <c r="J9" s="142"/>
      <c r="K9" s="96"/>
      <c r="L9" s="149" t="s">
        <v>232</v>
      </c>
      <c r="M9" s="164">
        <f>IF(ISERROR(VLOOKUP($L9,'Calc-Drivers'!$B$17:$F$27,M$42,FALSE))," ",VLOOKUP($L9,'Calc-Drivers'!$B$17:$F$27,M$42,FALSE))</f>
        <v>0.2196109260751124</v>
      </c>
      <c r="N9" s="164">
        <f>IF(ISERROR(VLOOKUP($L9,'Calc-Drivers'!$B$17:$F$27,N$42,FALSE))," ",VLOOKUP($L9,'Calc-Drivers'!$B$17:$F$27,N$42,FALSE))</f>
        <v>0.25684360461638045</v>
      </c>
      <c r="O9" s="164">
        <f>IF(ISERROR(VLOOKUP($L9,'Calc-Drivers'!$B$17:$F$27,O$42,FALSE))," ",VLOOKUP($L9,'Calc-Drivers'!$B$17:$F$27,O$42,FALSE))</f>
        <v>0.07187951420551468</v>
      </c>
      <c r="P9" s="164">
        <f>IF(ISERROR(VLOOKUP($L9,'Calc-Drivers'!$B$17:$F$27,P$42,FALSE))," ",VLOOKUP($L9,'Calc-Drivers'!$B$17:$F$27,P$42,FALSE))</f>
        <v>0.4516659551029927</v>
      </c>
      <c r="Q9" s="178"/>
      <c r="R9" s="98"/>
      <c r="S9" s="99">
        <f t="shared" si="1"/>
        <v>0.24157201868262396</v>
      </c>
      <c r="T9" s="99">
        <f t="shared" si="2"/>
        <v>0.28252796507801886</v>
      </c>
      <c r="U9" s="99">
        <f t="shared" si="3"/>
        <v>0.07906746562606624</v>
      </c>
      <c r="V9" s="171">
        <f t="shared" si="4"/>
        <v>0.49683255061329257</v>
      </c>
      <c r="W9" s="100"/>
      <c r="X9" s="94"/>
      <c r="Y9" s="99">
        <f t="shared" si="5"/>
        <v>1.241572018682624</v>
      </c>
      <c r="Z9" s="99">
        <f t="shared" si="6"/>
        <v>2.782527965078019</v>
      </c>
      <c r="AA9" s="99">
        <f t="shared" si="7"/>
        <v>0.4790674656260663</v>
      </c>
      <c r="AB9" s="171">
        <f t="shared" si="8"/>
        <v>8.996832550613291</v>
      </c>
      <c r="AC9" s="100"/>
      <c r="AD9" s="100"/>
      <c r="AE9" s="101">
        <f>IF(ISERROR(Y9*100000000/'Calc-Units'!$E$21)," ",Y9*100000000/'Calc-Units'!$E$21)</f>
        <v>0.008245438442122818</v>
      </c>
      <c r="AF9" s="101">
        <f>IF(ISERROR(Z9*100000000/'Calc-Units'!$D$21)," ",Z9*100000000/'Calc-Units'!$D$21)</f>
        <v>0.01910207356575894</v>
      </c>
      <c r="AG9" s="101">
        <f>IF(ISERROR(AA9*100000000/'Calc-Units'!$C$21)," ",AA9*100000000/'Calc-Units'!$C$21)</f>
        <v>0.004302087314260011</v>
      </c>
      <c r="AH9" s="291">
        <f>IF(ISERROR(AB9*100000000/'Calc-Units'!$C$21)," ",AB9*100000000/'Calc-Units'!$C$21)</f>
        <v>0.0807927107592944</v>
      </c>
      <c r="AI9" s="102"/>
      <c r="AJ9" s="95">
        <v>0.235</v>
      </c>
      <c r="AK9" s="96">
        <f t="shared" si="9"/>
        <v>3.1725</v>
      </c>
      <c r="AL9" s="97">
        <f t="shared" si="10"/>
        <v>10.3275</v>
      </c>
      <c r="AM9" s="96"/>
      <c r="AN9" s="96"/>
      <c r="AO9" s="99">
        <f t="shared" si="11"/>
        <v>0.9498025942922074</v>
      </c>
      <c r="AP9" s="99">
        <f t="shared" si="12"/>
        <v>2.128633893284684</v>
      </c>
      <c r="AQ9" s="99">
        <f t="shared" si="13"/>
        <v>0.3664866112039407</v>
      </c>
      <c r="AR9" s="171">
        <f t="shared" si="14"/>
        <v>6.882576901219168</v>
      </c>
      <c r="AS9" s="100"/>
      <c r="AT9" s="102"/>
      <c r="AU9" s="101">
        <f>IF(ISERROR(AO9*100000000/'Calc-Units'!$E$21)," ",AO9*100000000/'Calc-Units'!$E$21)</f>
        <v>0.006307760408223956</v>
      </c>
      <c r="AV9" s="101">
        <f>IF(ISERROR(AP9*100000000/'Calc-Units'!$D$21)," ",AP9*100000000/'Calc-Units'!$D$21)</f>
        <v>0.014613086277805587</v>
      </c>
      <c r="AW9" s="101">
        <f>IF(ISERROR(AQ9*100000000/'Calc-Units'!$C$21)," ",AQ9*100000000/'Calc-Units'!$C$21)</f>
        <v>0.0032910967954089087</v>
      </c>
      <c r="AX9" s="291">
        <f>IF(ISERROR(AR9*100000000/'Calc-Units'!$C$21)," ",AR9*100000000/'Calc-Units'!$C$21)</f>
        <v>0.061806423730860205</v>
      </c>
      <c r="AZ9" s="106"/>
      <c r="BA9" s="94"/>
    </row>
    <row r="10" spans="1:53" s="93" customFormat="1" ht="12.75">
      <c r="A10" s="111"/>
      <c r="B10" s="103"/>
      <c r="C10" s="137" t="s">
        <v>80</v>
      </c>
      <c r="D10" s="149">
        <f>'RRP 1.3'!H$12</f>
        <v>7</v>
      </c>
      <c r="E10" s="149">
        <f>SUM('RRP 2.3'!G20:G27)</f>
        <v>2.1</v>
      </c>
      <c r="F10" s="149">
        <f>SUM('RRP 2.3'!G17:G18)</f>
        <v>0.8</v>
      </c>
      <c r="G10" s="184">
        <f>SUM('RRP 2.3'!G19)</f>
        <v>2.7</v>
      </c>
      <c r="H10" s="149">
        <f>SUM('RRP 2.3'!G11:G16)</f>
        <v>1.2000000000000002</v>
      </c>
      <c r="I10" s="149">
        <f t="shared" si="0"/>
        <v>0.20000000000000018</v>
      </c>
      <c r="J10" s="142"/>
      <c r="K10" s="96"/>
      <c r="L10" s="151" t="s">
        <v>232</v>
      </c>
      <c r="M10" s="164">
        <f>IF(ISERROR(VLOOKUP($L10,'Calc-Drivers'!$B$17:$F$27,M$42,FALSE))," ",VLOOKUP($L10,'Calc-Drivers'!$B$17:$F$27,M$42,FALSE))</f>
        <v>0.2196109260751124</v>
      </c>
      <c r="N10" s="164">
        <f>IF(ISERROR(VLOOKUP($L10,'Calc-Drivers'!$B$17:$F$27,N$42,FALSE))," ",VLOOKUP($L10,'Calc-Drivers'!$B$17:$F$27,N$42,FALSE))</f>
        <v>0.25684360461638045</v>
      </c>
      <c r="O10" s="164">
        <f>IF(ISERROR(VLOOKUP($L10,'Calc-Drivers'!$B$17:$F$27,O$42,FALSE))," ",VLOOKUP($L10,'Calc-Drivers'!$B$17:$F$27,O$42,FALSE))</f>
        <v>0.07187951420551468</v>
      </c>
      <c r="P10" s="164">
        <f>IF(ISERROR(VLOOKUP($L10,'Calc-Drivers'!$B$17:$F$27,P$42,FALSE))," ",VLOOKUP($L10,'Calc-Drivers'!$B$17:$F$27,P$42,FALSE))</f>
        <v>0.4516659551029927</v>
      </c>
      <c r="Q10" s="178"/>
      <c r="R10" s="98"/>
      <c r="S10" s="99">
        <f t="shared" si="1"/>
        <v>0.043922185215022516</v>
      </c>
      <c r="T10" s="99">
        <f t="shared" si="2"/>
        <v>0.051368720923276136</v>
      </c>
      <c r="U10" s="99">
        <f t="shared" si="3"/>
        <v>0.014375902841102949</v>
      </c>
      <c r="V10" s="171">
        <f t="shared" si="4"/>
        <v>0.09033319102059861</v>
      </c>
      <c r="W10" s="100"/>
      <c r="X10" s="94"/>
      <c r="Y10" s="99">
        <f t="shared" si="5"/>
        <v>2.1439221852150228</v>
      </c>
      <c r="Z10" s="99">
        <f t="shared" si="6"/>
        <v>0.8513687209232762</v>
      </c>
      <c r="AA10" s="99">
        <f t="shared" si="7"/>
        <v>2.714375902841103</v>
      </c>
      <c r="AB10" s="171">
        <f t="shared" si="8"/>
        <v>1.2903331910205988</v>
      </c>
      <c r="AC10" s="100"/>
      <c r="AD10" s="100"/>
      <c r="AE10" s="101">
        <f>IF(ISERROR(Y10*100000000/'Calc-Units'!$E$21)," ",Y10*100000000/'Calc-Units'!$E$21)</f>
        <v>0.014238061213435517</v>
      </c>
      <c r="AF10" s="101">
        <f>IF(ISERROR(Z10*100000000/'Calc-Units'!$D$21)," ",Z10*100000000/'Calc-Units'!$D$21)</f>
        <v>0.005844652108718887</v>
      </c>
      <c r="AG10" s="101">
        <f>IF(ISERROR(AA10*100000000/'Calc-Units'!$C$21)," ",AA10*100000000/'Calc-Units'!$C$21)</f>
        <v>0.024375443910567233</v>
      </c>
      <c r="AH10" s="291">
        <f>IF(ISERROR(AB10*100000000/'Calc-Units'!$C$21)," ",AB10*100000000/'Calc-Units'!$C$21)</f>
        <v>0.011587357628228634</v>
      </c>
      <c r="AI10" s="102"/>
      <c r="AJ10" s="95">
        <v>0.235</v>
      </c>
      <c r="AK10" s="96">
        <f t="shared" si="9"/>
        <v>1.645</v>
      </c>
      <c r="AL10" s="97">
        <f t="shared" si="10"/>
        <v>5.355</v>
      </c>
      <c r="AM10" s="96"/>
      <c r="AN10" s="96"/>
      <c r="AO10" s="175">
        <f t="shared" si="11"/>
        <v>1.6401004716894925</v>
      </c>
      <c r="AP10" s="175">
        <f t="shared" si="12"/>
        <v>0.6512970715063063</v>
      </c>
      <c r="AQ10" s="175">
        <f t="shared" si="13"/>
        <v>2.076497565673444</v>
      </c>
      <c r="AR10" s="172">
        <f t="shared" si="14"/>
        <v>0.9871048911307582</v>
      </c>
      <c r="AS10" s="100"/>
      <c r="AT10" s="102"/>
      <c r="AU10" s="292">
        <f>IF(ISERROR(AO10*100000000/'Calc-Units'!$E$21)," ",AO10*100000000/'Calc-Units'!$E$21)</f>
        <v>0.01089211682827817</v>
      </c>
      <c r="AV10" s="292">
        <f>IF(ISERROR(AP10*100000000/'Calc-Units'!$D$21)," ",AP10*100000000/'Calc-Units'!$D$21)</f>
        <v>0.004471158863169948</v>
      </c>
      <c r="AW10" s="292">
        <f>IF(ISERROR(AQ10*100000000/'Calc-Units'!$C$21)," ",AQ10*100000000/'Calc-Units'!$C$21)</f>
        <v>0.018647214591583933</v>
      </c>
      <c r="AX10" s="293">
        <f>IF(ISERROR(AR10*100000000/'Calc-Units'!$C$21)," ",AR10*100000000/'Calc-Units'!$C$21)</f>
        <v>0.008864328585594905</v>
      </c>
      <c r="AZ10" s="106"/>
      <c r="BA10" s="94"/>
    </row>
    <row r="11" spans="1:53" s="93" customFormat="1" ht="12.75">
      <c r="A11" s="114"/>
      <c r="B11" s="103"/>
      <c r="C11" s="285" t="s">
        <v>684</v>
      </c>
      <c r="D11" s="161">
        <f>'RRP 1.3'!I$12</f>
        <v>5.3</v>
      </c>
      <c r="E11" s="161">
        <f>'RRP 2.3'!G46+'RRP 2.3'!G47</f>
        <v>0.3933301334794333</v>
      </c>
      <c r="F11" s="161">
        <f>'RRP 2.3'!G45</f>
        <v>2.119896112868507</v>
      </c>
      <c r="G11" s="162">
        <v>0</v>
      </c>
      <c r="H11" s="161">
        <f>'RRP 2.3'!G44</f>
        <v>2.7959164081484307</v>
      </c>
      <c r="I11" s="161">
        <f t="shared" si="0"/>
        <v>-0.009142654496371527</v>
      </c>
      <c r="J11" s="142"/>
      <c r="K11" s="96"/>
      <c r="L11" s="173" t="s">
        <v>232</v>
      </c>
      <c r="M11" s="287">
        <f>IF(ISERROR(VLOOKUP($L11,'Calc-Drivers'!$B$17:$F$27,M$42,FALSE))," ",VLOOKUP($L11,'Calc-Drivers'!$B$17:$F$27,M$42,FALSE))</f>
        <v>0.2196109260751124</v>
      </c>
      <c r="N11" s="287">
        <f>IF(ISERROR(VLOOKUP($L11,'Calc-Drivers'!$B$17:$F$27,N$42,FALSE))," ",VLOOKUP($L11,'Calc-Drivers'!$B$17:$F$27,N$42,FALSE))</f>
        <v>0.25684360461638045</v>
      </c>
      <c r="O11" s="287">
        <f>IF(ISERROR(VLOOKUP($L11,'Calc-Drivers'!$B$17:$F$27,O$42,FALSE))," ",VLOOKUP($L11,'Calc-Drivers'!$B$17:$F$27,O$42,FALSE))</f>
        <v>0.07187951420551468</v>
      </c>
      <c r="P11" s="287">
        <f>IF(ISERROR(VLOOKUP($L11,'Calc-Drivers'!$B$17:$F$27,P$42,FALSE))," ",VLOOKUP($L11,'Calc-Drivers'!$B$17:$F$27,P$42,FALSE))</f>
        <v>0.4516659551029927</v>
      </c>
      <c r="Q11" s="178"/>
      <c r="R11" s="98"/>
      <c r="S11" s="175">
        <f t="shared" si="1"/>
        <v>-0.0020078268207329416</v>
      </c>
      <c r="T11" s="175">
        <f t="shared" si="2"/>
        <v>-0.0023482323366102215</v>
      </c>
      <c r="U11" s="175">
        <f t="shared" si="3"/>
        <v>-0.0006571695637480499</v>
      </c>
      <c r="V11" s="172">
        <f t="shared" si="4"/>
        <v>-0.0041294257752803164</v>
      </c>
      <c r="W11" s="100"/>
      <c r="X11" s="94"/>
      <c r="Y11" s="175">
        <f t="shared" si="5"/>
        <v>0.3913223066587004</v>
      </c>
      <c r="Z11" s="175">
        <f t="shared" si="6"/>
        <v>2.117547880531897</v>
      </c>
      <c r="AA11" s="175">
        <f t="shared" si="7"/>
        <v>-0.0006571695637480499</v>
      </c>
      <c r="AB11" s="172">
        <f t="shared" si="8"/>
        <v>2.7917869823731505</v>
      </c>
      <c r="AC11" s="100"/>
      <c r="AD11" s="100"/>
      <c r="AE11" s="292">
        <f>IF(ISERROR(Y11*100000000/'Calc-Units'!$E$21)," ",Y11*100000000/'Calc-Units'!$E$21)</f>
        <v>0.002598821447351437</v>
      </c>
      <c r="AF11" s="292">
        <f>IF(ISERROR(Z11*100000000/'Calc-Units'!$D$21)," ",Z11*100000000/'Calc-Units'!$D$21)</f>
        <v>0.014536980724218185</v>
      </c>
      <c r="AG11" s="292">
        <f>IF(ISERROR(AA11*100000000/'Calc-Units'!$C$21)," ",AA11*100000000/'Calc-Units'!$C$21)</f>
        <v>-5.9014670090851635E-06</v>
      </c>
      <c r="AH11" s="293">
        <f>IF(ISERROR(AB11*100000000/'Calc-Units'!$C$21)," ",AB11*100000000/'Calc-Units'!$C$21)</f>
        <v>0.02507060533799328</v>
      </c>
      <c r="AI11" s="102"/>
      <c r="AJ11" s="296">
        <v>0.235</v>
      </c>
      <c r="AK11" s="297">
        <f t="shared" si="9"/>
        <v>1.2454999999999998</v>
      </c>
      <c r="AL11" s="298">
        <f t="shared" si="10"/>
        <v>4.0545</v>
      </c>
      <c r="AM11" s="96"/>
      <c r="AN11" s="96"/>
      <c r="AO11" s="174">
        <f t="shared" si="11"/>
        <v>0.2993615645939058</v>
      </c>
      <c r="AP11" s="174">
        <f t="shared" si="12"/>
        <v>1.619924128606901</v>
      </c>
      <c r="AQ11" s="174">
        <f t="shared" si="13"/>
        <v>-0.0005027347162672582</v>
      </c>
      <c r="AR11" s="170">
        <f t="shared" si="14"/>
        <v>2.13571704151546</v>
      </c>
      <c r="AS11" s="100"/>
      <c r="AT11" s="102"/>
      <c r="AU11" s="331">
        <f>IF(ISERROR(AO11*100000000/'Calc-Units'!$E$21)," ",AO11*100000000/'Calc-Units'!$E$21)</f>
        <v>0.001988098407223849</v>
      </c>
      <c r="AV11" s="331">
        <f>IF(ISERROR(AP11*100000000/'Calc-Units'!$D$21)," ",AP11*100000000/'Calc-Units'!$D$21)</f>
        <v>0.011120790254026914</v>
      </c>
      <c r="AW11" s="331">
        <f>IF(ISERROR(AQ11*100000000/'Calc-Units'!$C$21)," ",AQ11*100000000/'Calc-Units'!$C$21)</f>
        <v>-4.514622261950151E-06</v>
      </c>
      <c r="AX11" s="332">
        <f>IF(ISERROR(AR11*100000000/'Calc-Units'!$C$21)," ",AR11*100000000/'Calc-Units'!$C$21)</f>
        <v>0.019179013083564855</v>
      </c>
      <c r="AZ11" s="106"/>
      <c r="BA11" s="94"/>
    </row>
    <row r="12" spans="1:53" s="109" customFormat="1" ht="12.75" customHeight="1">
      <c r="A12" s="111"/>
      <c r="B12" s="284" t="s">
        <v>640</v>
      </c>
      <c r="C12" s="138" t="s">
        <v>630</v>
      </c>
      <c r="D12" s="151">
        <f>'RRP 1.3'!J$12</f>
        <v>0.6</v>
      </c>
      <c r="E12" s="151">
        <v>0</v>
      </c>
      <c r="F12" s="151">
        <v>0</v>
      </c>
      <c r="G12" s="151">
        <v>0</v>
      </c>
      <c r="H12" s="151">
        <v>0</v>
      </c>
      <c r="I12" s="151">
        <f t="shared" si="0"/>
        <v>0.6</v>
      </c>
      <c r="J12" s="143"/>
      <c r="K12" s="105"/>
      <c r="L12" s="151" t="s">
        <v>232</v>
      </c>
      <c r="M12" s="164">
        <f>IF(ISERROR(VLOOKUP($L12,'Calc-Drivers'!$B$17:$F$27,M$42,FALSE))," ",VLOOKUP($L12,'Calc-Drivers'!$B$17:$F$27,M$42,FALSE))</f>
        <v>0.2196109260751124</v>
      </c>
      <c r="N12" s="164">
        <f>IF(ISERROR(VLOOKUP($L12,'Calc-Drivers'!$B$17:$F$27,N$42,FALSE))," ",VLOOKUP($L12,'Calc-Drivers'!$B$17:$F$27,N$42,FALSE))</f>
        <v>0.25684360461638045</v>
      </c>
      <c r="O12" s="164">
        <f>IF(ISERROR(VLOOKUP($L12,'Calc-Drivers'!$B$17:$F$27,O$42,FALSE))," ",VLOOKUP($L12,'Calc-Drivers'!$B$17:$F$27,O$42,FALSE))</f>
        <v>0.07187951420551468</v>
      </c>
      <c r="P12" s="164">
        <f>IF(ISERROR(VLOOKUP($L12,'Calc-Drivers'!$B$17:$F$27,P$42,FALSE))," ",VLOOKUP($L12,'Calc-Drivers'!$B$17:$F$27,P$42,FALSE))</f>
        <v>0.4516659551029927</v>
      </c>
      <c r="Q12" s="178"/>
      <c r="R12" s="98"/>
      <c r="S12" s="99">
        <f t="shared" si="1"/>
        <v>0.13176655564506742</v>
      </c>
      <c r="T12" s="99">
        <f t="shared" si="2"/>
        <v>0.15410616276982828</v>
      </c>
      <c r="U12" s="99">
        <f t="shared" si="3"/>
        <v>0.04312770852330881</v>
      </c>
      <c r="V12" s="171">
        <f t="shared" si="4"/>
        <v>0.2709995730617956</v>
      </c>
      <c r="W12" s="100"/>
      <c r="X12" s="106"/>
      <c r="Y12" s="174">
        <f t="shared" si="5"/>
        <v>0.13176655564506742</v>
      </c>
      <c r="Z12" s="174">
        <f t="shared" si="6"/>
        <v>0.15410616276982828</v>
      </c>
      <c r="AA12" s="174">
        <f t="shared" si="7"/>
        <v>0.04312770852330881</v>
      </c>
      <c r="AB12" s="170">
        <f t="shared" si="8"/>
        <v>0.2709995730617956</v>
      </c>
      <c r="AC12" s="107"/>
      <c r="AD12" s="107"/>
      <c r="AE12" s="331">
        <f>IF(ISERROR(Y12*100000000/'Calc-Units'!$E$21)," ",Y12*100000000/'Calc-Units'!$E$21)</f>
        <v>0.0008750785350774592</v>
      </c>
      <c r="AF12" s="331">
        <f>IF(ISERROR(Z12*100000000/'Calc-Units'!$D$21)," ",Z12*100000000/'Calc-Units'!$D$21)</f>
        <v>0.0010579398644367413</v>
      </c>
      <c r="AG12" s="331">
        <f>IF(ISERROR(AA12*100000000/'Calc-Units'!$C$21)," ",AA12*100000000/'Calc-Units'!$C$21)</f>
        <v>0.0003872923565969137</v>
      </c>
      <c r="AH12" s="332">
        <f>IF(ISERROR(AB12*100000000/'Calc-Units'!$C$21)," ",AB12*100000000/'Calc-Units'!$C$21)</f>
        <v>0.002433610940194881</v>
      </c>
      <c r="AI12" s="108"/>
      <c r="AJ12" s="335">
        <v>0.5257</v>
      </c>
      <c r="AK12" s="326">
        <f t="shared" si="9"/>
        <v>0.31542</v>
      </c>
      <c r="AL12" s="327">
        <f t="shared" si="10"/>
        <v>0.28458</v>
      </c>
      <c r="AM12" s="96"/>
      <c r="AN12" s="96"/>
      <c r="AO12" s="99">
        <f t="shared" si="11"/>
        <v>0.06249687734245549</v>
      </c>
      <c r="AP12" s="99">
        <f t="shared" si="12"/>
        <v>0.07309255300172957</v>
      </c>
      <c r="AQ12" s="99">
        <f t="shared" si="13"/>
        <v>0.020455472152605368</v>
      </c>
      <c r="AR12" s="171">
        <f t="shared" si="14"/>
        <v>0.12853509750320968</v>
      </c>
      <c r="AS12" s="100"/>
      <c r="AT12" s="108"/>
      <c r="AU12" s="101">
        <f>IF(ISERROR(AO12*100000000/'Calc-Units'!$E$21)," ",AO12*100000000/'Calc-Units'!$E$21)</f>
        <v>0.00041504974918723896</v>
      </c>
      <c r="AV12" s="101">
        <f>IF(ISERROR(AP12*100000000/'Calc-Units'!$D$21)," ",AP12*100000000/'Calc-Units'!$D$21)</f>
        <v>0.0005017808777023465</v>
      </c>
      <c r="AW12" s="101">
        <f>IF(ISERROR(AQ12*100000000/'Calc-Units'!$C$21)," ",AQ12*100000000/'Calc-Units'!$C$21)</f>
        <v>0.0001836927647339162</v>
      </c>
      <c r="AX12" s="291">
        <f>IF(ISERROR(AR12*100000000/'Calc-Units'!$C$21)," ",AR12*100000000/'Calc-Units'!$C$21)</f>
        <v>0.0011542616689344323</v>
      </c>
      <c r="AZ12" s="106"/>
      <c r="BA12" s="106"/>
    </row>
    <row r="13" spans="1:53" s="109" customFormat="1" ht="12.75">
      <c r="A13" s="111"/>
      <c r="B13" s="110"/>
      <c r="C13" s="138" t="s">
        <v>631</v>
      </c>
      <c r="D13" s="151">
        <f>'RRP 1.3'!K$12</f>
        <v>4.5</v>
      </c>
      <c r="E13" s="151">
        <v>0</v>
      </c>
      <c r="F13" s="151">
        <v>0</v>
      </c>
      <c r="G13" s="151">
        <v>0</v>
      </c>
      <c r="H13" s="151">
        <v>0</v>
      </c>
      <c r="I13" s="151">
        <f t="shared" si="0"/>
        <v>4.5</v>
      </c>
      <c r="J13" s="143"/>
      <c r="K13" s="105"/>
      <c r="L13" s="151" t="s">
        <v>232</v>
      </c>
      <c r="M13" s="164">
        <f>IF(ISERROR(VLOOKUP($L13,'Calc-Drivers'!$B$17:$F$27,M$42,FALSE))," ",VLOOKUP($L13,'Calc-Drivers'!$B$17:$F$27,M$42,FALSE))</f>
        <v>0.2196109260751124</v>
      </c>
      <c r="N13" s="164">
        <f>IF(ISERROR(VLOOKUP($L13,'Calc-Drivers'!$B$17:$F$27,N$42,FALSE))," ",VLOOKUP($L13,'Calc-Drivers'!$B$17:$F$27,N$42,FALSE))</f>
        <v>0.25684360461638045</v>
      </c>
      <c r="O13" s="164">
        <f>IF(ISERROR(VLOOKUP($L13,'Calc-Drivers'!$B$17:$F$27,O$42,FALSE))," ",VLOOKUP($L13,'Calc-Drivers'!$B$17:$F$27,O$42,FALSE))</f>
        <v>0.07187951420551468</v>
      </c>
      <c r="P13" s="164">
        <f>IF(ISERROR(VLOOKUP($L13,'Calc-Drivers'!$B$17:$F$27,P$42,FALSE))," ",VLOOKUP($L13,'Calc-Drivers'!$B$17:$F$27,P$42,FALSE))</f>
        <v>0.4516659551029927</v>
      </c>
      <c r="Q13" s="178"/>
      <c r="R13" s="98"/>
      <c r="S13" s="99">
        <f t="shared" si="1"/>
        <v>0.9882491673380058</v>
      </c>
      <c r="T13" s="99">
        <f t="shared" si="2"/>
        <v>1.155796220773712</v>
      </c>
      <c r="U13" s="99">
        <f t="shared" si="3"/>
        <v>0.32345781392481604</v>
      </c>
      <c r="V13" s="171">
        <f t="shared" si="4"/>
        <v>2.032496797963467</v>
      </c>
      <c r="W13" s="100"/>
      <c r="X13" s="106"/>
      <c r="Y13" s="99">
        <f t="shared" si="5"/>
        <v>0.9882491673380058</v>
      </c>
      <c r="Z13" s="99">
        <f t="shared" si="6"/>
        <v>1.155796220773712</v>
      </c>
      <c r="AA13" s="99">
        <f t="shared" si="7"/>
        <v>0.32345781392481604</v>
      </c>
      <c r="AB13" s="171">
        <f t="shared" si="8"/>
        <v>2.032496797963467</v>
      </c>
      <c r="AC13" s="107"/>
      <c r="AD13" s="107"/>
      <c r="AE13" s="101">
        <f>IF(ISERROR(Y13*100000000/'Calc-Units'!$E$21)," ",Y13*100000000/'Calc-Units'!$E$21)</f>
        <v>0.006563089013080945</v>
      </c>
      <c r="AF13" s="101">
        <f>IF(ISERROR(Z13*100000000/'Calc-Units'!$D$21)," ",Z13*100000000/'Calc-Units'!$D$21)</f>
        <v>0.007934548983275561</v>
      </c>
      <c r="AG13" s="101">
        <f>IF(ISERROR(AA13*100000000/'Calc-Units'!$C$21)," ",AA13*100000000/'Calc-Units'!$C$21)</f>
        <v>0.002904692674476853</v>
      </c>
      <c r="AH13" s="291">
        <f>IF(ISERROR(AB13*100000000/'Calc-Units'!$C$21)," ",AB13*100000000/'Calc-Units'!$C$21)</f>
        <v>0.018252082051461605</v>
      </c>
      <c r="AI13" s="108"/>
      <c r="AJ13" s="104">
        <v>0.5257</v>
      </c>
      <c r="AK13" s="96">
        <f t="shared" si="9"/>
        <v>2.3656499999999996</v>
      </c>
      <c r="AL13" s="97">
        <f t="shared" si="10"/>
        <v>2.1343500000000004</v>
      </c>
      <c r="AM13" s="96"/>
      <c r="AN13" s="96"/>
      <c r="AO13" s="99">
        <f t="shared" si="11"/>
        <v>0.4687265800684162</v>
      </c>
      <c r="AP13" s="99">
        <f t="shared" si="12"/>
        <v>0.5481941475129717</v>
      </c>
      <c r="AQ13" s="99">
        <f t="shared" si="13"/>
        <v>0.15341604114454027</v>
      </c>
      <c r="AR13" s="171">
        <f t="shared" si="14"/>
        <v>0.9640132312740725</v>
      </c>
      <c r="AS13" s="100"/>
      <c r="AT13" s="108"/>
      <c r="AU13" s="101">
        <f>IF(ISERROR(AO13*100000000/'Calc-Units'!$E$21)," ",AO13*100000000/'Calc-Units'!$E$21)</f>
        <v>0.0031128731189042926</v>
      </c>
      <c r="AV13" s="101">
        <f>IF(ISERROR(AP13*100000000/'Calc-Units'!$D$21)," ",AP13*100000000/'Calc-Units'!$D$21)</f>
        <v>0.0037633565827675988</v>
      </c>
      <c r="AW13" s="101">
        <f>IF(ISERROR(AQ13*100000000/'Calc-Units'!$C$21)," ",AQ13*100000000/'Calc-Units'!$C$21)</f>
        <v>0.0013776957355043716</v>
      </c>
      <c r="AX13" s="291">
        <f>IF(ISERROR(AR13*100000000/'Calc-Units'!$C$21)," ",AR13*100000000/'Calc-Units'!$C$21)</f>
        <v>0.00865696251700824</v>
      </c>
      <c r="AZ13" s="106"/>
      <c r="BA13" s="106"/>
    </row>
    <row r="14" spans="1:53" s="109" customFormat="1" ht="12.75">
      <c r="A14" s="111"/>
      <c r="B14" s="110"/>
      <c r="C14" s="138" t="s">
        <v>496</v>
      </c>
      <c r="D14" s="151">
        <f>'RRP 1.3'!L$12</f>
        <v>4.9</v>
      </c>
      <c r="E14" s="151">
        <v>0</v>
      </c>
      <c r="F14" s="151">
        <v>0</v>
      </c>
      <c r="G14" s="151">
        <v>0</v>
      </c>
      <c r="H14" s="151">
        <v>0</v>
      </c>
      <c r="I14" s="151">
        <f t="shared" si="0"/>
        <v>4.9</v>
      </c>
      <c r="J14" s="143"/>
      <c r="K14" s="105"/>
      <c r="L14" s="151" t="s">
        <v>232</v>
      </c>
      <c r="M14" s="164">
        <f>IF(ISERROR(VLOOKUP($L14,'Calc-Drivers'!$B$17:$F$27,M$42,FALSE))," ",VLOOKUP($L14,'Calc-Drivers'!$B$17:$F$27,M$42,FALSE))</f>
        <v>0.2196109260751124</v>
      </c>
      <c r="N14" s="164">
        <f>IF(ISERROR(VLOOKUP($L14,'Calc-Drivers'!$B$17:$F$27,N$42,FALSE))," ",VLOOKUP($L14,'Calc-Drivers'!$B$17:$F$27,N$42,FALSE))</f>
        <v>0.25684360461638045</v>
      </c>
      <c r="O14" s="164">
        <f>IF(ISERROR(VLOOKUP($L14,'Calc-Drivers'!$B$17:$F$27,O$42,FALSE))," ",VLOOKUP($L14,'Calc-Drivers'!$B$17:$F$27,O$42,FALSE))</f>
        <v>0.07187951420551468</v>
      </c>
      <c r="P14" s="164">
        <f>IF(ISERROR(VLOOKUP($L14,'Calc-Drivers'!$B$17:$F$27,P$42,FALSE))," ",VLOOKUP($L14,'Calc-Drivers'!$B$17:$F$27,P$42,FALSE))</f>
        <v>0.4516659551029927</v>
      </c>
      <c r="Q14" s="178"/>
      <c r="R14" s="98"/>
      <c r="S14" s="99">
        <f t="shared" si="1"/>
        <v>1.076093537768051</v>
      </c>
      <c r="T14" s="99">
        <f t="shared" si="2"/>
        <v>1.2585336626202643</v>
      </c>
      <c r="U14" s="99">
        <f t="shared" si="3"/>
        <v>0.35220961960702196</v>
      </c>
      <c r="V14" s="171">
        <f t="shared" si="4"/>
        <v>2.2131631800046643</v>
      </c>
      <c r="W14" s="100"/>
      <c r="X14" s="106"/>
      <c r="Y14" s="99">
        <f t="shared" si="5"/>
        <v>1.076093537768051</v>
      </c>
      <c r="Z14" s="99">
        <f t="shared" si="6"/>
        <v>1.2585336626202643</v>
      </c>
      <c r="AA14" s="99">
        <f t="shared" si="7"/>
        <v>0.35220961960702196</v>
      </c>
      <c r="AB14" s="171">
        <f t="shared" si="8"/>
        <v>2.2131631800046643</v>
      </c>
      <c r="AC14" s="107"/>
      <c r="AD14" s="107"/>
      <c r="AE14" s="101">
        <f>IF(ISERROR(Y14*100000000/'Calc-Units'!$E$21)," ",Y14*100000000/'Calc-Units'!$E$21)</f>
        <v>0.007146474703132585</v>
      </c>
      <c r="AF14" s="101">
        <f>IF(ISERROR(Z14*100000000/'Calc-Units'!$D$21)," ",Z14*100000000/'Calc-Units'!$D$21)</f>
        <v>0.008639842226233388</v>
      </c>
      <c r="AG14" s="101">
        <f>IF(ISERROR(AA14*100000000/'Calc-Units'!$C$21)," ",AA14*100000000/'Calc-Units'!$C$21)</f>
        <v>0.003162887578874796</v>
      </c>
      <c r="AH14" s="291">
        <f>IF(ISERROR(AB14*100000000/'Calc-Units'!$C$21)," ",AB14*100000000/'Calc-Units'!$C$21)</f>
        <v>0.01987448934492486</v>
      </c>
      <c r="AI14" s="108"/>
      <c r="AJ14" s="104">
        <v>0.5257</v>
      </c>
      <c r="AK14" s="96">
        <f t="shared" si="9"/>
        <v>2.57593</v>
      </c>
      <c r="AL14" s="97">
        <f t="shared" si="10"/>
        <v>2.3240700000000003</v>
      </c>
      <c r="AM14" s="96"/>
      <c r="AN14" s="96"/>
      <c r="AO14" s="99">
        <f t="shared" si="11"/>
        <v>0.5103911649633867</v>
      </c>
      <c r="AP14" s="99">
        <f t="shared" si="12"/>
        <v>0.5969225161807914</v>
      </c>
      <c r="AQ14" s="99">
        <f t="shared" si="13"/>
        <v>0.16705302257961055</v>
      </c>
      <c r="AR14" s="171">
        <f t="shared" si="14"/>
        <v>1.0497032962762123</v>
      </c>
      <c r="AS14" s="100"/>
      <c r="AT14" s="108"/>
      <c r="AU14" s="101">
        <f>IF(ISERROR(AO14*100000000/'Calc-Units'!$E$21)," ",AO14*100000000/'Calc-Units'!$E$21)</f>
        <v>0.003389572951695786</v>
      </c>
      <c r="AV14" s="101">
        <f>IF(ISERROR(AP14*100000000/'Calc-Units'!$D$21)," ",AP14*100000000/'Calc-Units'!$D$21)</f>
        <v>0.004097877167902496</v>
      </c>
      <c r="AW14" s="101">
        <f>IF(ISERROR(AQ14*100000000/'Calc-Units'!$C$21)," ",AQ14*100000000/'Calc-Units'!$C$21)</f>
        <v>0.001500157578660316</v>
      </c>
      <c r="AX14" s="291">
        <f>IF(ISERROR(AR14*100000000/'Calc-Units'!$C$21)," ",AR14*100000000/'Calc-Units'!$C$21)</f>
        <v>0.009426470296297862</v>
      </c>
      <c r="AZ14" s="106"/>
      <c r="BA14" s="106"/>
    </row>
    <row r="15" spans="1:53" s="109" customFormat="1" ht="12.75">
      <c r="A15" s="111"/>
      <c r="B15" s="110"/>
      <c r="C15" s="138" t="s">
        <v>497</v>
      </c>
      <c r="D15" s="151">
        <f>'RRP 1.3'!M$12</f>
        <v>9.6</v>
      </c>
      <c r="E15" s="151">
        <v>0</v>
      </c>
      <c r="F15" s="151">
        <v>0</v>
      </c>
      <c r="G15" s="151">
        <v>0</v>
      </c>
      <c r="H15" s="151">
        <v>0</v>
      </c>
      <c r="I15" s="151">
        <f t="shared" si="0"/>
        <v>9.6</v>
      </c>
      <c r="J15" s="143"/>
      <c r="K15" s="105"/>
      <c r="L15" s="151" t="s">
        <v>232</v>
      </c>
      <c r="M15" s="164">
        <f>IF(ISERROR(VLOOKUP($L15,'Calc-Drivers'!$B$17:$F$27,M$42,FALSE))," ",VLOOKUP($L15,'Calc-Drivers'!$B$17:$F$27,M$42,FALSE))</f>
        <v>0.2196109260751124</v>
      </c>
      <c r="N15" s="164">
        <f>IF(ISERROR(VLOOKUP($L15,'Calc-Drivers'!$B$17:$F$27,N$42,FALSE))," ",VLOOKUP($L15,'Calc-Drivers'!$B$17:$F$27,N$42,FALSE))</f>
        <v>0.25684360461638045</v>
      </c>
      <c r="O15" s="164">
        <f>IF(ISERROR(VLOOKUP($L15,'Calc-Drivers'!$B$17:$F$27,O$42,FALSE))," ",VLOOKUP($L15,'Calc-Drivers'!$B$17:$F$27,O$42,FALSE))</f>
        <v>0.07187951420551468</v>
      </c>
      <c r="P15" s="164">
        <f>IF(ISERROR(VLOOKUP($L15,'Calc-Drivers'!$B$17:$F$27,P$42,FALSE))," ",VLOOKUP($L15,'Calc-Drivers'!$B$17:$F$27,P$42,FALSE))</f>
        <v>0.4516659551029927</v>
      </c>
      <c r="Q15" s="178"/>
      <c r="R15" s="98"/>
      <c r="S15" s="99">
        <f t="shared" si="1"/>
        <v>2.1082648903210788</v>
      </c>
      <c r="T15" s="99">
        <f t="shared" si="2"/>
        <v>2.4656986043172524</v>
      </c>
      <c r="U15" s="99">
        <f t="shared" si="3"/>
        <v>0.6900433363729409</v>
      </c>
      <c r="V15" s="171">
        <f t="shared" si="4"/>
        <v>4.33599316898873</v>
      </c>
      <c r="W15" s="100"/>
      <c r="X15" s="106"/>
      <c r="Y15" s="99">
        <f t="shared" si="5"/>
        <v>2.1082648903210788</v>
      </c>
      <c r="Z15" s="99">
        <f t="shared" si="6"/>
        <v>2.4656986043172524</v>
      </c>
      <c r="AA15" s="99">
        <f t="shared" si="7"/>
        <v>0.6900433363729409</v>
      </c>
      <c r="AB15" s="171">
        <f t="shared" si="8"/>
        <v>4.33599316898873</v>
      </c>
      <c r="AC15" s="107"/>
      <c r="AD15" s="107"/>
      <c r="AE15" s="101">
        <f>IF(ISERROR(Y15*100000000/'Calc-Units'!$E$21)," ",Y15*100000000/'Calc-Units'!$E$21)</f>
        <v>0.014001256561239347</v>
      </c>
      <c r="AF15" s="101">
        <f>IF(ISERROR(Z15*100000000/'Calc-Units'!$D$21)," ",Z15*100000000/'Calc-Units'!$D$21)</f>
        <v>0.01692703783098786</v>
      </c>
      <c r="AG15" s="101">
        <f>IF(ISERROR(AA15*100000000/'Calc-Units'!$C$21)," ",AA15*100000000/'Calc-Units'!$C$21)</f>
        <v>0.006196677705550619</v>
      </c>
      <c r="AH15" s="291">
        <f>IF(ISERROR(AB15*100000000/'Calc-Units'!$C$21)," ",AB15*100000000/'Calc-Units'!$C$21)</f>
        <v>0.03893777504311809</v>
      </c>
      <c r="AI15" s="108"/>
      <c r="AJ15" s="104">
        <v>0.5257</v>
      </c>
      <c r="AK15" s="96">
        <f t="shared" si="9"/>
        <v>5.04672</v>
      </c>
      <c r="AL15" s="97">
        <f t="shared" si="10"/>
        <v>4.55328</v>
      </c>
      <c r="AM15" s="96"/>
      <c r="AN15" s="96"/>
      <c r="AO15" s="99">
        <f t="shared" si="11"/>
        <v>0.9999500374792878</v>
      </c>
      <c r="AP15" s="99">
        <f t="shared" si="12"/>
        <v>1.169480848027673</v>
      </c>
      <c r="AQ15" s="99">
        <f t="shared" si="13"/>
        <v>0.3272875544416859</v>
      </c>
      <c r="AR15" s="171">
        <f t="shared" si="14"/>
        <v>2.056561560051355</v>
      </c>
      <c r="AS15" s="100"/>
      <c r="AT15" s="108"/>
      <c r="AU15" s="101">
        <f>IF(ISERROR(AO15*100000000/'Calc-Units'!$E$21)," ",AO15*100000000/'Calc-Units'!$E$21)</f>
        <v>0.006640795986995823</v>
      </c>
      <c r="AV15" s="101">
        <f>IF(ISERROR(AP15*100000000/'Calc-Units'!$D$21)," ",AP15*100000000/'Calc-Units'!$D$21)</f>
        <v>0.008028494043237544</v>
      </c>
      <c r="AW15" s="101">
        <f>IF(ISERROR(AQ15*100000000/'Calc-Units'!$C$21)," ",AQ15*100000000/'Calc-Units'!$C$21)</f>
        <v>0.002939084235742659</v>
      </c>
      <c r="AX15" s="291">
        <f>IF(ISERROR(AR15*100000000/'Calc-Units'!$C$21)," ",AR15*100000000/'Calc-Units'!$C$21)</f>
        <v>0.018468186702950917</v>
      </c>
      <c r="AZ15" s="106"/>
      <c r="BA15" s="106"/>
    </row>
    <row r="16" spans="1:53" s="109" customFormat="1" ht="12.75">
      <c r="A16" s="111"/>
      <c r="B16" s="110"/>
      <c r="C16" s="138" t="s">
        <v>498</v>
      </c>
      <c r="D16" s="151">
        <f>'RRP 1.3'!N$12</f>
        <v>1.9</v>
      </c>
      <c r="E16" s="151">
        <v>0</v>
      </c>
      <c r="F16" s="151">
        <v>0</v>
      </c>
      <c r="G16" s="151">
        <v>0</v>
      </c>
      <c r="H16" s="151">
        <v>0</v>
      </c>
      <c r="I16" s="151">
        <f t="shared" si="0"/>
        <v>1.9</v>
      </c>
      <c r="J16" s="143"/>
      <c r="K16" s="105"/>
      <c r="L16" s="151" t="s">
        <v>232</v>
      </c>
      <c r="M16" s="164">
        <f>IF(ISERROR(VLOOKUP($L16,'Calc-Drivers'!$B$17:$F$27,M$42,FALSE))," ",VLOOKUP($L16,'Calc-Drivers'!$B$17:$F$27,M$42,FALSE))</f>
        <v>0.2196109260751124</v>
      </c>
      <c r="N16" s="164">
        <f>IF(ISERROR(VLOOKUP($L16,'Calc-Drivers'!$B$17:$F$27,N$42,FALSE))," ",VLOOKUP($L16,'Calc-Drivers'!$B$17:$F$27,N$42,FALSE))</f>
        <v>0.25684360461638045</v>
      </c>
      <c r="O16" s="164">
        <f>IF(ISERROR(VLOOKUP($L16,'Calc-Drivers'!$B$17:$F$27,O$42,FALSE))," ",VLOOKUP($L16,'Calc-Drivers'!$B$17:$F$27,O$42,FALSE))</f>
        <v>0.07187951420551468</v>
      </c>
      <c r="P16" s="164">
        <f>IF(ISERROR(VLOOKUP($L16,'Calc-Drivers'!$B$17:$F$27,P$42,FALSE))," ",VLOOKUP($L16,'Calc-Drivers'!$B$17:$F$27,P$42,FALSE))</f>
        <v>0.4516659551029927</v>
      </c>
      <c r="Q16" s="178"/>
      <c r="R16" s="98"/>
      <c r="S16" s="99">
        <f t="shared" si="1"/>
        <v>0.4172607595427135</v>
      </c>
      <c r="T16" s="99">
        <f t="shared" si="2"/>
        <v>0.4880028487711228</v>
      </c>
      <c r="U16" s="99">
        <f t="shared" si="3"/>
        <v>0.13657107699047788</v>
      </c>
      <c r="V16" s="171">
        <f t="shared" si="4"/>
        <v>0.858165314695686</v>
      </c>
      <c r="W16" s="100"/>
      <c r="X16" s="106"/>
      <c r="Y16" s="99">
        <f t="shared" si="5"/>
        <v>0.4172607595427135</v>
      </c>
      <c r="Z16" s="99">
        <f t="shared" si="6"/>
        <v>0.4880028487711228</v>
      </c>
      <c r="AA16" s="99">
        <f t="shared" si="7"/>
        <v>0.13657107699047788</v>
      </c>
      <c r="AB16" s="171">
        <f t="shared" si="8"/>
        <v>0.858165314695686</v>
      </c>
      <c r="AC16" s="107"/>
      <c r="AD16" s="107"/>
      <c r="AE16" s="101">
        <f>IF(ISERROR(Y16*100000000/'Calc-Units'!$E$21)," ",Y16*100000000/'Calc-Units'!$E$21)</f>
        <v>0.0027710820277452876</v>
      </c>
      <c r="AF16" s="101">
        <f>IF(ISERROR(Z16*100000000/'Calc-Units'!$D$21)," ",Z16*100000000/'Calc-Units'!$D$21)</f>
        <v>0.003350142904049681</v>
      </c>
      <c r="AG16" s="101">
        <f>IF(ISERROR(AA16*100000000/'Calc-Units'!$C$21)," ",AA16*100000000/'Calc-Units'!$C$21)</f>
        <v>0.0012264257958902267</v>
      </c>
      <c r="AH16" s="291">
        <f>IF(ISERROR(AB16*100000000/'Calc-Units'!$C$21)," ",AB16*100000000/'Calc-Units'!$C$21)</f>
        <v>0.0077064346439504544</v>
      </c>
      <c r="AI16" s="108"/>
      <c r="AJ16" s="104">
        <v>0.5257</v>
      </c>
      <c r="AK16" s="96">
        <f t="shared" si="9"/>
        <v>0.9988299999999999</v>
      </c>
      <c r="AL16" s="97">
        <f t="shared" si="10"/>
        <v>0.90117</v>
      </c>
      <c r="AM16" s="96"/>
      <c r="AN16" s="96"/>
      <c r="AO16" s="99">
        <f t="shared" si="11"/>
        <v>0.19790677825110906</v>
      </c>
      <c r="AP16" s="99">
        <f t="shared" si="12"/>
        <v>0.23145975117214357</v>
      </c>
      <c r="AQ16" s="99">
        <f t="shared" si="13"/>
        <v>0.06477566181658366</v>
      </c>
      <c r="AR16" s="171">
        <f t="shared" si="14"/>
        <v>0.4070278087601639</v>
      </c>
      <c r="AS16" s="100"/>
      <c r="AT16" s="108"/>
      <c r="AU16" s="101">
        <f>IF(ISERROR(AO16*100000000/'Calc-Units'!$E$21)," ",AO16*100000000/'Calc-Units'!$E$21)</f>
        <v>0.00131432420575959</v>
      </c>
      <c r="AV16" s="101">
        <f>IF(ISERROR(AP16*100000000/'Calc-Units'!$D$21)," ",AP16*100000000/'Calc-Units'!$D$21)</f>
        <v>0.0015889727793907636</v>
      </c>
      <c r="AW16" s="101">
        <f>IF(ISERROR(AQ16*100000000/'Calc-Units'!$C$21)," ",AQ16*100000000/'Calc-Units'!$C$21)</f>
        <v>0.0005816937549907345</v>
      </c>
      <c r="AX16" s="291">
        <f>IF(ISERROR(AR16*100000000/'Calc-Units'!$C$21)," ",AR16*100000000/'Calc-Units'!$C$21)</f>
        <v>0.0036551619516257015</v>
      </c>
      <c r="AZ16" s="106"/>
      <c r="BA16" s="106"/>
    </row>
    <row r="17" spans="1:53" s="109" customFormat="1" ht="12.75">
      <c r="A17" s="111"/>
      <c r="B17" s="110"/>
      <c r="C17" s="138" t="s">
        <v>499</v>
      </c>
      <c r="D17" s="151">
        <f>'RRP 1.3'!O$12</f>
        <v>1</v>
      </c>
      <c r="E17" s="151">
        <v>0</v>
      </c>
      <c r="F17" s="151">
        <v>0</v>
      </c>
      <c r="G17" s="151">
        <v>0</v>
      </c>
      <c r="H17" s="151">
        <v>0</v>
      </c>
      <c r="I17" s="151">
        <f t="shared" si="0"/>
        <v>1</v>
      </c>
      <c r="J17" s="143"/>
      <c r="K17" s="105"/>
      <c r="L17" s="151" t="s">
        <v>232</v>
      </c>
      <c r="M17" s="164">
        <f>IF(ISERROR(VLOOKUP($L17,'Calc-Drivers'!$B$17:$F$27,M$42,FALSE))," ",VLOOKUP($L17,'Calc-Drivers'!$B$17:$F$27,M$42,FALSE))</f>
        <v>0.2196109260751124</v>
      </c>
      <c r="N17" s="164">
        <f>IF(ISERROR(VLOOKUP($L17,'Calc-Drivers'!$B$17:$F$27,N$42,FALSE))," ",VLOOKUP($L17,'Calc-Drivers'!$B$17:$F$27,N$42,FALSE))</f>
        <v>0.25684360461638045</v>
      </c>
      <c r="O17" s="164">
        <f>IF(ISERROR(VLOOKUP($L17,'Calc-Drivers'!$B$17:$F$27,O$42,FALSE))," ",VLOOKUP($L17,'Calc-Drivers'!$B$17:$F$27,O$42,FALSE))</f>
        <v>0.07187951420551468</v>
      </c>
      <c r="P17" s="164">
        <f>IF(ISERROR(VLOOKUP($L17,'Calc-Drivers'!$B$17:$F$27,P$42,FALSE))," ",VLOOKUP($L17,'Calc-Drivers'!$B$17:$F$27,P$42,FALSE))</f>
        <v>0.4516659551029927</v>
      </c>
      <c r="Q17" s="178"/>
      <c r="R17" s="98"/>
      <c r="S17" s="99">
        <f t="shared" si="1"/>
        <v>0.2196109260751124</v>
      </c>
      <c r="T17" s="99">
        <f t="shared" si="2"/>
        <v>0.25684360461638045</v>
      </c>
      <c r="U17" s="99">
        <f t="shared" si="3"/>
        <v>0.07187951420551468</v>
      </c>
      <c r="V17" s="171">
        <f t="shared" si="4"/>
        <v>0.4516659551029927</v>
      </c>
      <c r="W17" s="100"/>
      <c r="X17" s="106"/>
      <c r="Y17" s="99">
        <f t="shared" si="5"/>
        <v>0.2196109260751124</v>
      </c>
      <c r="Z17" s="99">
        <f t="shared" si="6"/>
        <v>0.25684360461638045</v>
      </c>
      <c r="AA17" s="99">
        <f t="shared" si="7"/>
        <v>0.07187951420551468</v>
      </c>
      <c r="AB17" s="171">
        <f t="shared" si="8"/>
        <v>0.4516659551029927</v>
      </c>
      <c r="AC17" s="107"/>
      <c r="AD17" s="107"/>
      <c r="AE17" s="101">
        <f>IF(ISERROR(Y17*100000000/'Calc-Units'!$E$21)," ",Y17*100000000/'Calc-Units'!$E$21)</f>
        <v>0.0014584642251290988</v>
      </c>
      <c r="AF17" s="101">
        <f>IF(ISERROR(Z17*100000000/'Calc-Units'!$D$21)," ",Z17*100000000/'Calc-Units'!$D$21)</f>
        <v>0.0017632331073945688</v>
      </c>
      <c r="AG17" s="101">
        <f>IF(ISERROR(AA17*100000000/'Calc-Units'!$C$21)," ",AA17*100000000/'Calc-Units'!$C$21)</f>
        <v>0.0006454872609948562</v>
      </c>
      <c r="AH17" s="291">
        <f>IF(ISERROR(AB17*100000000/'Calc-Units'!$C$21)," ",AB17*100000000/'Calc-Units'!$C$21)</f>
        <v>0.004056018233658134</v>
      </c>
      <c r="AI17" s="108"/>
      <c r="AJ17" s="104">
        <v>0.5257</v>
      </c>
      <c r="AK17" s="96">
        <f t="shared" si="9"/>
        <v>0.5257</v>
      </c>
      <c r="AL17" s="97">
        <f t="shared" si="10"/>
        <v>0.47430000000000005</v>
      </c>
      <c r="AM17" s="96"/>
      <c r="AN17" s="96"/>
      <c r="AO17" s="99">
        <f t="shared" si="11"/>
        <v>0.10416146223742583</v>
      </c>
      <c r="AP17" s="99">
        <f t="shared" si="12"/>
        <v>0.12182092166954926</v>
      </c>
      <c r="AQ17" s="99">
        <f t="shared" si="13"/>
        <v>0.03409245358767562</v>
      </c>
      <c r="AR17" s="171">
        <f t="shared" si="14"/>
        <v>0.21422516250534945</v>
      </c>
      <c r="AS17" s="100"/>
      <c r="AT17" s="108"/>
      <c r="AU17" s="101">
        <f>IF(ISERROR(AO17*100000000/'Calc-Units'!$E$21)," ",AO17*100000000/'Calc-Units'!$E$21)</f>
        <v>0.0006917495819787317</v>
      </c>
      <c r="AV17" s="101">
        <f>IF(ISERROR(AP17*100000000/'Calc-Units'!$D$21)," ",AP17*100000000/'Calc-Units'!$D$21)</f>
        <v>0.0008363014628372441</v>
      </c>
      <c r="AW17" s="101">
        <f>IF(ISERROR(AQ17*100000000/'Calc-Units'!$C$21)," ",AQ17*100000000/'Calc-Units'!$C$21)</f>
        <v>0.00030615460788986035</v>
      </c>
      <c r="AX17" s="291">
        <f>IF(ISERROR(AR17*100000000/'Calc-Units'!$C$21)," ",AR17*100000000/'Calc-Units'!$C$21)</f>
        <v>0.0019237694482240534</v>
      </c>
      <c r="AZ17" s="106"/>
      <c r="BA17" s="106"/>
    </row>
    <row r="18" spans="1:53" s="109" customFormat="1" ht="12.75">
      <c r="A18" s="111"/>
      <c r="B18" s="110"/>
      <c r="C18" s="138" t="s">
        <v>781</v>
      </c>
      <c r="D18" s="151">
        <f>'RRP 1.3'!P$12</f>
        <v>0.7</v>
      </c>
      <c r="E18" s="151">
        <v>0</v>
      </c>
      <c r="F18" s="151">
        <v>0</v>
      </c>
      <c r="G18" s="151">
        <v>0</v>
      </c>
      <c r="H18" s="151">
        <v>0</v>
      </c>
      <c r="I18" s="151">
        <f t="shared" si="0"/>
        <v>0.7</v>
      </c>
      <c r="J18" s="143"/>
      <c r="K18" s="105"/>
      <c r="L18" s="151" t="s">
        <v>232</v>
      </c>
      <c r="M18" s="164">
        <f>IF(ISERROR(VLOOKUP($L18,'Calc-Drivers'!$B$17:$F$27,M$42,FALSE))," ",VLOOKUP($L18,'Calc-Drivers'!$B$17:$F$27,M$42,FALSE))</f>
        <v>0.2196109260751124</v>
      </c>
      <c r="N18" s="164">
        <f>IF(ISERROR(VLOOKUP($L18,'Calc-Drivers'!$B$17:$F$27,N$42,FALSE))," ",VLOOKUP($L18,'Calc-Drivers'!$B$17:$F$27,N$42,FALSE))</f>
        <v>0.25684360461638045</v>
      </c>
      <c r="O18" s="164">
        <f>IF(ISERROR(VLOOKUP($L18,'Calc-Drivers'!$B$17:$F$27,O$42,FALSE))," ",VLOOKUP($L18,'Calc-Drivers'!$B$17:$F$27,O$42,FALSE))</f>
        <v>0.07187951420551468</v>
      </c>
      <c r="P18" s="164">
        <f>IF(ISERROR(VLOOKUP($L18,'Calc-Drivers'!$B$17:$F$27,P$42,FALSE))," ",VLOOKUP($L18,'Calc-Drivers'!$B$17:$F$27,P$42,FALSE))</f>
        <v>0.4516659551029927</v>
      </c>
      <c r="Q18" s="178"/>
      <c r="R18" s="98"/>
      <c r="S18" s="99">
        <f t="shared" si="1"/>
        <v>0.15372764825257867</v>
      </c>
      <c r="T18" s="99">
        <f t="shared" si="2"/>
        <v>0.1797905232314663</v>
      </c>
      <c r="U18" s="99">
        <f t="shared" si="3"/>
        <v>0.05031565994386027</v>
      </c>
      <c r="V18" s="171">
        <f t="shared" si="4"/>
        <v>0.31616616857209484</v>
      </c>
      <c r="W18" s="100"/>
      <c r="X18" s="106"/>
      <c r="Y18" s="99">
        <f t="shared" si="5"/>
        <v>0.15372764825257867</v>
      </c>
      <c r="Z18" s="99">
        <f t="shared" si="6"/>
        <v>0.1797905232314663</v>
      </c>
      <c r="AA18" s="99">
        <f t="shared" si="7"/>
        <v>0.05031565994386027</v>
      </c>
      <c r="AB18" s="171">
        <f t="shared" si="8"/>
        <v>0.31616616857209484</v>
      </c>
      <c r="AC18" s="107"/>
      <c r="AD18" s="107"/>
      <c r="AE18" s="101">
        <f>IF(ISERROR(Y18*100000000/'Calc-Units'!$E$21)," ",Y18*100000000/'Calc-Units'!$E$21)</f>
        <v>0.001020924957590369</v>
      </c>
      <c r="AF18" s="101">
        <f>IF(ISERROR(Z18*100000000/'Calc-Units'!$D$21)," ",Z18*100000000/'Calc-Units'!$D$21)</f>
        <v>0.0012342631751761982</v>
      </c>
      <c r="AG18" s="101">
        <f>IF(ISERROR(AA18*100000000/'Calc-Units'!$C$21)," ",AA18*100000000/'Calc-Units'!$C$21)</f>
        <v>0.0004518410826963994</v>
      </c>
      <c r="AH18" s="291">
        <f>IF(ISERROR(AB18*100000000/'Calc-Units'!$C$21)," ",AB18*100000000/'Calc-Units'!$C$21)</f>
        <v>0.002839212763560694</v>
      </c>
      <c r="AI18" s="108"/>
      <c r="AJ18" s="104">
        <v>0.5257</v>
      </c>
      <c r="AK18" s="96">
        <f t="shared" si="9"/>
        <v>0.36798999999999993</v>
      </c>
      <c r="AL18" s="97">
        <f t="shared" si="10"/>
        <v>0.33201</v>
      </c>
      <c r="AM18" s="96"/>
      <c r="AN18" s="96"/>
      <c r="AO18" s="99">
        <f t="shared" si="11"/>
        <v>0.07291302356619807</v>
      </c>
      <c r="AP18" s="99">
        <f t="shared" si="12"/>
        <v>0.08527464516868448</v>
      </c>
      <c r="AQ18" s="99">
        <f t="shared" si="13"/>
        <v>0.02386471751137293</v>
      </c>
      <c r="AR18" s="171">
        <f t="shared" si="14"/>
        <v>0.1499576137537446</v>
      </c>
      <c r="AS18" s="100"/>
      <c r="AT18" s="108"/>
      <c r="AU18" s="101">
        <f>IF(ISERROR(AO18*100000000/'Calc-Units'!$E$21)," ",AO18*100000000/'Calc-Units'!$E$21)</f>
        <v>0.0004842247073851121</v>
      </c>
      <c r="AV18" s="101">
        <f>IF(ISERROR(AP18*100000000/'Calc-Units'!$D$21)," ",AP18*100000000/'Calc-Units'!$D$21)</f>
        <v>0.0005854110239860708</v>
      </c>
      <c r="AW18" s="101">
        <f>IF(ISERROR(AQ18*100000000/'Calc-Units'!$C$21)," ",AQ18*100000000/'Calc-Units'!$C$21)</f>
        <v>0.00021430822552290221</v>
      </c>
      <c r="AX18" s="291">
        <f>IF(ISERROR(AR18*100000000/'Calc-Units'!$C$21)," ",AR18*100000000/'Calc-Units'!$C$21)</f>
        <v>0.0013466386137568373</v>
      </c>
      <c r="AZ18" s="106"/>
      <c r="BA18" s="106"/>
    </row>
    <row r="19" spans="1:53" s="109" customFormat="1" ht="12.75">
      <c r="A19" s="111"/>
      <c r="B19" s="110"/>
      <c r="C19" s="138" t="s">
        <v>782</v>
      </c>
      <c r="D19" s="151">
        <f>'RRP 1.3'!Q$12</f>
        <v>1.2</v>
      </c>
      <c r="E19" s="151">
        <v>0</v>
      </c>
      <c r="F19" s="151">
        <v>0</v>
      </c>
      <c r="G19" s="151">
        <v>0</v>
      </c>
      <c r="H19" s="151">
        <v>0</v>
      </c>
      <c r="I19" s="151">
        <f t="shared" si="0"/>
        <v>1.2</v>
      </c>
      <c r="J19" s="143"/>
      <c r="K19" s="105"/>
      <c r="L19" s="151" t="s">
        <v>232</v>
      </c>
      <c r="M19" s="164">
        <f>IF(ISERROR(VLOOKUP($L19,'Calc-Drivers'!$B$17:$F$27,M$42,FALSE))," ",VLOOKUP($L19,'Calc-Drivers'!$B$17:$F$27,M$42,FALSE))</f>
        <v>0.2196109260751124</v>
      </c>
      <c r="N19" s="164">
        <f>IF(ISERROR(VLOOKUP($L19,'Calc-Drivers'!$B$17:$F$27,N$42,FALSE))," ",VLOOKUP($L19,'Calc-Drivers'!$B$17:$F$27,N$42,FALSE))</f>
        <v>0.25684360461638045</v>
      </c>
      <c r="O19" s="164">
        <f>IF(ISERROR(VLOOKUP($L19,'Calc-Drivers'!$B$17:$F$27,O$42,FALSE))," ",VLOOKUP($L19,'Calc-Drivers'!$B$17:$F$27,O$42,FALSE))</f>
        <v>0.07187951420551468</v>
      </c>
      <c r="P19" s="164">
        <f>IF(ISERROR(VLOOKUP($L19,'Calc-Drivers'!$B$17:$F$27,P$42,FALSE))," ",VLOOKUP($L19,'Calc-Drivers'!$B$17:$F$27,P$42,FALSE))</f>
        <v>0.4516659551029927</v>
      </c>
      <c r="Q19" s="178"/>
      <c r="R19" s="98"/>
      <c r="S19" s="99">
        <f t="shared" si="1"/>
        <v>0.26353311129013485</v>
      </c>
      <c r="T19" s="99">
        <f t="shared" si="2"/>
        <v>0.30821232553965655</v>
      </c>
      <c r="U19" s="99">
        <f t="shared" si="3"/>
        <v>0.08625541704661761</v>
      </c>
      <c r="V19" s="171">
        <f t="shared" si="4"/>
        <v>0.5419991461235912</v>
      </c>
      <c r="W19" s="100"/>
      <c r="X19" s="106"/>
      <c r="Y19" s="99">
        <f t="shared" si="5"/>
        <v>0.26353311129013485</v>
      </c>
      <c r="Z19" s="99">
        <f t="shared" si="6"/>
        <v>0.30821232553965655</v>
      </c>
      <c r="AA19" s="99">
        <f t="shared" si="7"/>
        <v>0.08625541704661761</v>
      </c>
      <c r="AB19" s="171">
        <f t="shared" si="8"/>
        <v>0.5419991461235912</v>
      </c>
      <c r="AC19" s="107"/>
      <c r="AD19" s="107"/>
      <c r="AE19" s="101">
        <f>IF(ISERROR(Y19*100000000/'Calc-Units'!$E$21)," ",Y19*100000000/'Calc-Units'!$E$21)</f>
        <v>0.0017501570701549183</v>
      </c>
      <c r="AF19" s="101">
        <f>IF(ISERROR(Z19*100000000/'Calc-Units'!$D$21)," ",Z19*100000000/'Calc-Units'!$D$21)</f>
        <v>0.0021158797288734826</v>
      </c>
      <c r="AG19" s="101">
        <f>IF(ISERROR(AA19*100000000/'Calc-Units'!$C$21)," ",AA19*100000000/'Calc-Units'!$C$21)</f>
        <v>0.0007745847131938274</v>
      </c>
      <c r="AH19" s="291">
        <f>IF(ISERROR(AB19*100000000/'Calc-Units'!$C$21)," ",AB19*100000000/'Calc-Units'!$C$21)</f>
        <v>0.004867221880389762</v>
      </c>
      <c r="AI19" s="108"/>
      <c r="AJ19" s="104">
        <v>0.5257</v>
      </c>
      <c r="AK19" s="96">
        <f t="shared" si="9"/>
        <v>0.63084</v>
      </c>
      <c r="AL19" s="97">
        <f t="shared" si="10"/>
        <v>0.56916</v>
      </c>
      <c r="AM19" s="96"/>
      <c r="AN19" s="96"/>
      <c r="AO19" s="99">
        <f t="shared" si="11"/>
        <v>0.12499375468491097</v>
      </c>
      <c r="AP19" s="99">
        <f t="shared" si="12"/>
        <v>0.14618510600345913</v>
      </c>
      <c r="AQ19" s="99">
        <f t="shared" si="13"/>
        <v>0.040910944305210736</v>
      </c>
      <c r="AR19" s="171">
        <f t="shared" si="14"/>
        <v>0.25707019500641937</v>
      </c>
      <c r="AS19" s="100"/>
      <c r="AT19" s="108"/>
      <c r="AU19" s="101">
        <f>IF(ISERROR(AO19*100000000/'Calc-Units'!$E$21)," ",AO19*100000000/'Calc-Units'!$E$21)</f>
        <v>0.0008300994983744779</v>
      </c>
      <c r="AV19" s="101">
        <f>IF(ISERROR(AP19*100000000/'Calc-Units'!$D$21)," ",AP19*100000000/'Calc-Units'!$D$21)</f>
        <v>0.001003561755404693</v>
      </c>
      <c r="AW19" s="101">
        <f>IF(ISERROR(AQ19*100000000/'Calc-Units'!$C$21)," ",AQ19*100000000/'Calc-Units'!$C$21)</f>
        <v>0.0003673855294678324</v>
      </c>
      <c r="AX19" s="291">
        <f>IF(ISERROR(AR19*100000000/'Calc-Units'!$C$21)," ",AR19*100000000/'Calc-Units'!$C$21)</f>
        <v>0.0023085233378688647</v>
      </c>
      <c r="AZ19" s="106"/>
      <c r="BA19" s="106"/>
    </row>
    <row r="20" spans="1:53" s="109" customFormat="1" ht="12.75">
      <c r="A20" s="111"/>
      <c r="B20" s="110"/>
      <c r="C20" s="138" t="s">
        <v>390</v>
      </c>
      <c r="D20" s="151">
        <f>'RRP 1.3'!R$12</f>
        <v>4.2</v>
      </c>
      <c r="E20" s="151">
        <v>0</v>
      </c>
      <c r="F20" s="151">
        <v>0</v>
      </c>
      <c r="G20" s="151">
        <v>0</v>
      </c>
      <c r="H20" s="151">
        <v>0</v>
      </c>
      <c r="I20" s="151">
        <f t="shared" si="0"/>
        <v>4.2</v>
      </c>
      <c r="J20" s="143"/>
      <c r="K20" s="105"/>
      <c r="L20" s="151" t="s">
        <v>232</v>
      </c>
      <c r="M20" s="164">
        <f>IF(ISERROR(VLOOKUP($L20,'Calc-Drivers'!$B$17:$F$27,M$42,FALSE))," ",VLOOKUP($L20,'Calc-Drivers'!$B$17:$F$27,M$42,FALSE))</f>
        <v>0.2196109260751124</v>
      </c>
      <c r="N20" s="164">
        <f>IF(ISERROR(VLOOKUP($L20,'Calc-Drivers'!$B$17:$F$27,N$42,FALSE))," ",VLOOKUP($L20,'Calc-Drivers'!$B$17:$F$27,N$42,FALSE))</f>
        <v>0.25684360461638045</v>
      </c>
      <c r="O20" s="164">
        <f>IF(ISERROR(VLOOKUP($L20,'Calc-Drivers'!$B$17:$F$27,O$42,FALSE))," ",VLOOKUP($L20,'Calc-Drivers'!$B$17:$F$27,O$42,FALSE))</f>
        <v>0.07187951420551468</v>
      </c>
      <c r="P20" s="164">
        <f>IF(ISERROR(VLOOKUP($L20,'Calc-Drivers'!$B$17:$F$27,P$42,FALSE))," ",VLOOKUP($L20,'Calc-Drivers'!$B$17:$F$27,P$42,FALSE))</f>
        <v>0.4516659551029927</v>
      </c>
      <c r="Q20" s="178"/>
      <c r="R20" s="98"/>
      <c r="S20" s="99">
        <f t="shared" si="1"/>
        <v>0.9223658895154722</v>
      </c>
      <c r="T20" s="99">
        <f t="shared" si="2"/>
        <v>1.0787431393887978</v>
      </c>
      <c r="U20" s="99">
        <f t="shared" si="3"/>
        <v>0.3018939596631617</v>
      </c>
      <c r="V20" s="171">
        <f t="shared" si="4"/>
        <v>1.8969970114325694</v>
      </c>
      <c r="W20" s="100"/>
      <c r="X20" s="106"/>
      <c r="Y20" s="99">
        <f t="shared" si="5"/>
        <v>0.9223658895154722</v>
      </c>
      <c r="Z20" s="99">
        <f t="shared" si="6"/>
        <v>1.0787431393887978</v>
      </c>
      <c r="AA20" s="99">
        <f t="shared" si="7"/>
        <v>0.3018939596631617</v>
      </c>
      <c r="AB20" s="171">
        <f t="shared" si="8"/>
        <v>1.8969970114325694</v>
      </c>
      <c r="AC20" s="107"/>
      <c r="AD20" s="107"/>
      <c r="AE20" s="101">
        <f>IF(ISERROR(Y20*100000000/'Calc-Units'!$E$21)," ",Y20*100000000/'Calc-Units'!$E$21)</f>
        <v>0.006125549745542216</v>
      </c>
      <c r="AF20" s="101">
        <f>IF(ISERROR(Z20*100000000/'Calc-Units'!$D$21)," ",Z20*100000000/'Calc-Units'!$D$21)</f>
        <v>0.0074055790510571895</v>
      </c>
      <c r="AG20" s="101">
        <f>IF(ISERROR(AA20*100000000/'Calc-Units'!$C$21)," ",AA20*100000000/'Calc-Units'!$C$21)</f>
        <v>0.0027110464961783965</v>
      </c>
      <c r="AH20" s="291">
        <f>IF(ISERROR(AB20*100000000/'Calc-Units'!$C$21)," ",AB20*100000000/'Calc-Units'!$C$21)</f>
        <v>0.017035276581364167</v>
      </c>
      <c r="AI20" s="108"/>
      <c r="AJ20" s="104">
        <v>0.5257</v>
      </c>
      <c r="AK20" s="96">
        <f t="shared" si="9"/>
        <v>2.20794</v>
      </c>
      <c r="AL20" s="97">
        <f t="shared" si="10"/>
        <v>1.9920600000000004</v>
      </c>
      <c r="AM20" s="96"/>
      <c r="AN20" s="96"/>
      <c r="AO20" s="99">
        <f t="shared" si="11"/>
        <v>0.4374781413971885</v>
      </c>
      <c r="AP20" s="99">
        <f t="shared" si="12"/>
        <v>0.5116478710121068</v>
      </c>
      <c r="AQ20" s="99">
        <f t="shared" si="13"/>
        <v>0.1431883050682376</v>
      </c>
      <c r="AR20" s="171">
        <f t="shared" si="14"/>
        <v>0.8997456825224678</v>
      </c>
      <c r="AS20" s="100"/>
      <c r="AT20" s="108"/>
      <c r="AU20" s="101">
        <f>IF(ISERROR(AO20*100000000/'Calc-Units'!$E$21)," ",AO20*100000000/'Calc-Units'!$E$21)</f>
        <v>0.0029053482443106727</v>
      </c>
      <c r="AV20" s="101">
        <f>IF(ISERROR(AP20*100000000/'Calc-Units'!$D$21)," ",AP20*100000000/'Calc-Units'!$D$21)</f>
        <v>0.003512466143916425</v>
      </c>
      <c r="AW20" s="101">
        <f>IF(ISERROR(AQ20*100000000/'Calc-Units'!$C$21)," ",AQ20*100000000/'Calc-Units'!$C$21)</f>
        <v>0.0012858493531374136</v>
      </c>
      <c r="AX20" s="291">
        <f>IF(ISERROR(AR20*100000000/'Calc-Units'!$C$21)," ",AR20*100000000/'Calc-Units'!$C$21)</f>
        <v>0.008079831682541026</v>
      </c>
      <c r="AZ20" s="106"/>
      <c r="BA20" s="106"/>
    </row>
    <row r="21" spans="1:53" s="109" customFormat="1" ht="12.75">
      <c r="A21" s="111"/>
      <c r="B21" s="110"/>
      <c r="C21" s="138" t="s">
        <v>255</v>
      </c>
      <c r="D21" s="151">
        <f>'RRP 1.3'!S$12</f>
        <v>6.9</v>
      </c>
      <c r="E21" s="151">
        <v>0</v>
      </c>
      <c r="F21" s="151">
        <v>0</v>
      </c>
      <c r="G21" s="151">
        <v>0</v>
      </c>
      <c r="H21" s="151">
        <v>0</v>
      </c>
      <c r="I21" s="151">
        <f t="shared" si="0"/>
        <v>6.9</v>
      </c>
      <c r="J21" s="143"/>
      <c r="K21" s="105"/>
      <c r="L21" s="151" t="s">
        <v>111</v>
      </c>
      <c r="M21" s="164" t="str">
        <f>IF(ISERROR(VLOOKUP($L21,'Calc-Drivers'!$B$17:$F$27,M$42,FALSE))," ",VLOOKUP($L21,'Calc-Drivers'!$B$17:$F$27,M$42,FALSE))</f>
        <v> </v>
      </c>
      <c r="N21" s="164" t="str">
        <f>IF(ISERROR(VLOOKUP($L21,'Calc-Drivers'!$B$17:$F$27,N$42,FALSE))," ",VLOOKUP($L21,'Calc-Drivers'!$B$17:$F$27,N$42,FALSE))</f>
        <v> </v>
      </c>
      <c r="O21" s="164" t="str">
        <f>IF(ISERROR(VLOOKUP($L21,'Calc-Drivers'!$B$17:$F$27,O$42,FALSE))," ",VLOOKUP($L21,'Calc-Drivers'!$B$17:$F$27,O$42,FALSE))</f>
        <v> </v>
      </c>
      <c r="P21" s="164" t="str">
        <f>IF(ISERROR(VLOOKUP($L21,'Calc-Drivers'!$B$17:$F$27,P$42,FALSE))," ",VLOOKUP($L21,'Calc-Drivers'!$B$17:$F$27,P$42,FALSE))</f>
        <v> </v>
      </c>
      <c r="Q21" s="178"/>
      <c r="R21" s="98"/>
      <c r="S21" s="99" t="str">
        <f t="shared" si="1"/>
        <v> </v>
      </c>
      <c r="T21" s="99" t="str">
        <f t="shared" si="2"/>
        <v> </v>
      </c>
      <c r="U21" s="99" t="str">
        <f t="shared" si="3"/>
        <v> </v>
      </c>
      <c r="V21" s="171" t="str">
        <f t="shared" si="4"/>
        <v> </v>
      </c>
      <c r="W21" s="100"/>
      <c r="X21" s="106"/>
      <c r="Y21" s="99" t="str">
        <f t="shared" si="5"/>
        <v> </v>
      </c>
      <c r="Z21" s="99" t="str">
        <f t="shared" si="6"/>
        <v> </v>
      </c>
      <c r="AA21" s="99" t="str">
        <f t="shared" si="7"/>
        <v> </v>
      </c>
      <c r="AB21" s="171" t="str">
        <f t="shared" si="8"/>
        <v> </v>
      </c>
      <c r="AC21" s="107"/>
      <c r="AD21" s="107"/>
      <c r="AE21" s="101" t="str">
        <f>IF(ISERROR(Y21*100000000/'Calc-Units'!$E$21)," ",Y21*100000000/'Calc-Units'!$E$21)</f>
        <v> </v>
      </c>
      <c r="AF21" s="101" t="str">
        <f>IF(ISERROR(Z21*100000000/'Calc-Units'!$D$21)," ",Z21*100000000/'Calc-Units'!$D$21)</f>
        <v> </v>
      </c>
      <c r="AG21" s="101" t="str">
        <f>IF(ISERROR(AA21*100000000/'Calc-Units'!$C$21)," ",AA21*100000000/'Calc-Units'!$C$21)</f>
        <v> </v>
      </c>
      <c r="AH21" s="291" t="str">
        <f>IF(ISERROR(AB21*100000000/'Calc-Units'!$C$21)," ",AB21*100000000/'Calc-Units'!$C$21)</f>
        <v> </v>
      </c>
      <c r="AI21" s="108"/>
      <c r="AJ21" s="104">
        <v>0.5257</v>
      </c>
      <c r="AK21" s="96">
        <f t="shared" si="9"/>
        <v>3.6273299999999997</v>
      </c>
      <c r="AL21" s="97">
        <f t="shared" si="10"/>
        <v>3.2726700000000006</v>
      </c>
      <c r="AM21" s="96"/>
      <c r="AN21" s="96"/>
      <c r="AO21" s="99" t="str">
        <f t="shared" si="11"/>
        <v> </v>
      </c>
      <c r="AP21" s="99" t="str">
        <f t="shared" si="12"/>
        <v> </v>
      </c>
      <c r="AQ21" s="99" t="str">
        <f t="shared" si="13"/>
        <v> </v>
      </c>
      <c r="AR21" s="171" t="str">
        <f t="shared" si="14"/>
        <v> </v>
      </c>
      <c r="AS21" s="100"/>
      <c r="AT21" s="108"/>
      <c r="AU21" s="101" t="str">
        <f>IF(ISERROR(AO21*100000000/'Calc-Units'!$E$21)," ",AO21*100000000/'Calc-Units'!$E$21)</f>
        <v> </v>
      </c>
      <c r="AV21" s="101" t="str">
        <f>IF(ISERROR(AP21*100000000/'Calc-Units'!$D$21)," ",AP21*100000000/'Calc-Units'!$D$21)</f>
        <v> </v>
      </c>
      <c r="AW21" s="101" t="str">
        <f>IF(ISERROR(AQ21*100000000/'Calc-Units'!$C$21)," ",AQ21*100000000/'Calc-Units'!$C$21)</f>
        <v> </v>
      </c>
      <c r="AX21" s="291" t="str">
        <f>IF(ISERROR(AR21*100000000/'Calc-Units'!$C$21)," ",AR21*100000000/'Calc-Units'!$C$21)</f>
        <v> </v>
      </c>
      <c r="AZ21" s="106"/>
      <c r="BA21" s="106"/>
    </row>
    <row r="22" spans="1:53" s="109" customFormat="1" ht="12.75">
      <c r="A22" s="111"/>
      <c r="B22" s="110"/>
      <c r="C22" s="138" t="s">
        <v>389</v>
      </c>
      <c r="D22" s="151">
        <f>'RRP 1.3'!T$12</f>
        <v>3</v>
      </c>
      <c r="E22" s="151">
        <v>0</v>
      </c>
      <c r="F22" s="151">
        <v>0</v>
      </c>
      <c r="G22" s="151">
        <v>0</v>
      </c>
      <c r="H22" s="151">
        <v>0</v>
      </c>
      <c r="I22" s="151">
        <f t="shared" si="0"/>
        <v>3</v>
      </c>
      <c r="J22" s="143"/>
      <c r="K22" s="105"/>
      <c r="L22" s="151" t="s">
        <v>111</v>
      </c>
      <c r="M22" s="164" t="str">
        <f>IF(ISERROR(VLOOKUP($L22,'Calc-Drivers'!$B$17:$F$27,M$42,FALSE))," ",VLOOKUP($L22,'Calc-Drivers'!$B$17:$F$27,M$42,FALSE))</f>
        <v> </v>
      </c>
      <c r="N22" s="164" t="str">
        <f>IF(ISERROR(VLOOKUP($L22,'Calc-Drivers'!$B$17:$F$27,N$42,FALSE))," ",VLOOKUP($L22,'Calc-Drivers'!$B$17:$F$27,N$42,FALSE))</f>
        <v> </v>
      </c>
      <c r="O22" s="164" t="str">
        <f>IF(ISERROR(VLOOKUP($L22,'Calc-Drivers'!$B$17:$F$27,O$42,FALSE))," ",VLOOKUP($L22,'Calc-Drivers'!$B$17:$F$27,O$42,FALSE))</f>
        <v> </v>
      </c>
      <c r="P22" s="164" t="str">
        <f>IF(ISERROR(VLOOKUP($L22,'Calc-Drivers'!$B$17:$F$27,P$42,FALSE))," ",VLOOKUP($L22,'Calc-Drivers'!$B$17:$F$27,P$42,FALSE))</f>
        <v> </v>
      </c>
      <c r="Q22" s="178"/>
      <c r="R22" s="98"/>
      <c r="S22" s="99" t="str">
        <f t="shared" si="1"/>
        <v> </v>
      </c>
      <c r="T22" s="99" t="str">
        <f t="shared" si="2"/>
        <v> </v>
      </c>
      <c r="U22" s="99" t="str">
        <f t="shared" si="3"/>
        <v> </v>
      </c>
      <c r="V22" s="171" t="str">
        <f t="shared" si="4"/>
        <v> </v>
      </c>
      <c r="W22" s="100"/>
      <c r="X22" s="106"/>
      <c r="Y22" s="99" t="str">
        <f t="shared" si="5"/>
        <v> </v>
      </c>
      <c r="Z22" s="99" t="str">
        <f t="shared" si="6"/>
        <v> </v>
      </c>
      <c r="AA22" s="99" t="str">
        <f t="shared" si="7"/>
        <v> </v>
      </c>
      <c r="AB22" s="171" t="str">
        <f t="shared" si="8"/>
        <v> </v>
      </c>
      <c r="AC22" s="107"/>
      <c r="AD22" s="107"/>
      <c r="AE22" s="101" t="str">
        <f>IF(ISERROR(Y22*100000000/'Calc-Units'!$E$21)," ",Y22*100000000/'Calc-Units'!$E$21)</f>
        <v> </v>
      </c>
      <c r="AF22" s="101" t="str">
        <f>IF(ISERROR(Z22*100000000/'Calc-Units'!$D$21)," ",Z22*100000000/'Calc-Units'!$D$21)</f>
        <v> </v>
      </c>
      <c r="AG22" s="101" t="str">
        <f>IF(ISERROR(AA22*100000000/'Calc-Units'!$C$21)," ",AA22*100000000/'Calc-Units'!$C$21)</f>
        <v> </v>
      </c>
      <c r="AH22" s="291" t="str">
        <f>IF(ISERROR(AB22*100000000/'Calc-Units'!$C$21)," ",AB22*100000000/'Calc-Units'!$C$21)</f>
        <v> </v>
      </c>
      <c r="AI22" s="108"/>
      <c r="AJ22" s="104">
        <v>0.5257</v>
      </c>
      <c r="AK22" s="96">
        <f t="shared" si="9"/>
        <v>1.5770999999999997</v>
      </c>
      <c r="AL22" s="97">
        <f t="shared" si="10"/>
        <v>1.4229000000000003</v>
      </c>
      <c r="AM22" s="96"/>
      <c r="AN22" s="96"/>
      <c r="AO22" s="99" t="str">
        <f t="shared" si="11"/>
        <v> </v>
      </c>
      <c r="AP22" s="99" t="str">
        <f t="shared" si="12"/>
        <v> </v>
      </c>
      <c r="AQ22" s="99" t="str">
        <f t="shared" si="13"/>
        <v> </v>
      </c>
      <c r="AR22" s="171" t="str">
        <f t="shared" si="14"/>
        <v> </v>
      </c>
      <c r="AS22" s="100"/>
      <c r="AT22" s="108"/>
      <c r="AU22" s="101" t="str">
        <f>IF(ISERROR(AO22*100000000/'Calc-Units'!$E$21)," ",AO22*100000000/'Calc-Units'!$E$21)</f>
        <v> </v>
      </c>
      <c r="AV22" s="101" t="str">
        <f>IF(ISERROR(AP22*100000000/'Calc-Units'!$D$21)," ",AP22*100000000/'Calc-Units'!$D$21)</f>
        <v> </v>
      </c>
      <c r="AW22" s="101" t="str">
        <f>IF(ISERROR(AQ22*100000000/'Calc-Units'!$C$21)," ",AQ22*100000000/'Calc-Units'!$C$21)</f>
        <v> </v>
      </c>
      <c r="AX22" s="291" t="str">
        <f>IF(ISERROR(AR22*100000000/'Calc-Units'!$C$21)," ",AR22*100000000/'Calc-Units'!$C$21)</f>
        <v> </v>
      </c>
      <c r="AZ22" s="106"/>
      <c r="BA22" s="106"/>
    </row>
    <row r="23" spans="1:53" s="109" customFormat="1" ht="12.75">
      <c r="A23" s="111"/>
      <c r="B23" s="110"/>
      <c r="C23" s="138" t="s">
        <v>642</v>
      </c>
      <c r="D23" s="151">
        <f>'RRP 1.3'!U$12</f>
        <v>0.9</v>
      </c>
      <c r="E23" s="151">
        <v>0</v>
      </c>
      <c r="F23" s="151">
        <v>0</v>
      </c>
      <c r="G23" s="151">
        <v>0</v>
      </c>
      <c r="H23" s="151">
        <v>0</v>
      </c>
      <c r="I23" s="151">
        <f t="shared" si="0"/>
        <v>0.9</v>
      </c>
      <c r="J23" s="143"/>
      <c r="K23" s="105"/>
      <c r="L23" s="151" t="s">
        <v>232</v>
      </c>
      <c r="M23" s="164">
        <f>IF(ISERROR(VLOOKUP($L23,'Calc-Drivers'!$B$17:$F$27,M$42,FALSE))," ",VLOOKUP($L23,'Calc-Drivers'!$B$17:$F$27,M$42,FALSE))</f>
        <v>0.2196109260751124</v>
      </c>
      <c r="N23" s="164">
        <f>IF(ISERROR(VLOOKUP($L23,'Calc-Drivers'!$B$17:$F$27,N$42,FALSE))," ",VLOOKUP($L23,'Calc-Drivers'!$B$17:$F$27,N$42,FALSE))</f>
        <v>0.25684360461638045</v>
      </c>
      <c r="O23" s="164">
        <f>IF(ISERROR(VLOOKUP($L23,'Calc-Drivers'!$B$17:$F$27,O$42,FALSE))," ",VLOOKUP($L23,'Calc-Drivers'!$B$17:$F$27,O$42,FALSE))</f>
        <v>0.07187951420551468</v>
      </c>
      <c r="P23" s="164">
        <f>IF(ISERROR(VLOOKUP($L23,'Calc-Drivers'!$B$17:$F$27,P$42,FALSE))," ",VLOOKUP($L23,'Calc-Drivers'!$B$17:$F$27,P$42,FALSE))</f>
        <v>0.4516659551029927</v>
      </c>
      <c r="Q23" s="178"/>
      <c r="R23" s="98"/>
      <c r="S23" s="99">
        <f t="shared" si="1"/>
        <v>0.19764983346760118</v>
      </c>
      <c r="T23" s="99">
        <f t="shared" si="2"/>
        <v>0.2311592441547424</v>
      </c>
      <c r="U23" s="99">
        <f t="shared" si="3"/>
        <v>0.06469156278496321</v>
      </c>
      <c r="V23" s="171">
        <f t="shared" si="4"/>
        <v>0.4064993595926934</v>
      </c>
      <c r="W23" s="100"/>
      <c r="X23" s="106"/>
      <c r="Y23" s="99">
        <f t="shared" si="5"/>
        <v>0.19764983346760118</v>
      </c>
      <c r="Z23" s="99">
        <f t="shared" si="6"/>
        <v>0.2311592441547424</v>
      </c>
      <c r="AA23" s="99">
        <f t="shared" si="7"/>
        <v>0.06469156278496321</v>
      </c>
      <c r="AB23" s="171">
        <f t="shared" si="8"/>
        <v>0.4064993595926934</v>
      </c>
      <c r="AC23" s="107"/>
      <c r="AD23" s="107"/>
      <c r="AE23" s="101">
        <f>IF(ISERROR(Y23*100000000/'Calc-Units'!$E$21)," ",Y23*100000000/'Calc-Units'!$E$21)</f>
        <v>0.0013126178026161889</v>
      </c>
      <c r="AF23" s="101">
        <f>IF(ISERROR(Z23*100000000/'Calc-Units'!$D$21)," ",Z23*100000000/'Calc-Units'!$D$21)</f>
        <v>0.001586909796655112</v>
      </c>
      <c r="AG23" s="101">
        <f>IF(ISERROR(AA23*100000000/'Calc-Units'!$C$21)," ",AA23*100000000/'Calc-Units'!$C$21)</f>
        <v>0.0005809385348953706</v>
      </c>
      <c r="AH23" s="291">
        <f>IF(ISERROR(AB23*100000000/'Calc-Units'!$C$21)," ",AB23*100000000/'Calc-Units'!$C$21)</f>
        <v>0.003650416410292321</v>
      </c>
      <c r="AI23" s="108"/>
      <c r="AJ23" s="104">
        <v>0.5257</v>
      </c>
      <c r="AK23" s="96">
        <f t="shared" si="9"/>
        <v>0.47312999999999994</v>
      </c>
      <c r="AL23" s="97">
        <f t="shared" si="10"/>
        <v>0.4268700000000001</v>
      </c>
      <c r="AM23" s="96"/>
      <c r="AN23" s="96"/>
      <c r="AO23" s="99">
        <f t="shared" si="11"/>
        <v>0.09374531601368324</v>
      </c>
      <c r="AP23" s="99">
        <f t="shared" si="12"/>
        <v>0.10963882950259433</v>
      </c>
      <c r="AQ23" s="99">
        <f t="shared" si="13"/>
        <v>0.030683208228908056</v>
      </c>
      <c r="AR23" s="171">
        <f t="shared" si="14"/>
        <v>0.1928026462548145</v>
      </c>
      <c r="AS23" s="100"/>
      <c r="AT23" s="108"/>
      <c r="AU23" s="101">
        <f>IF(ISERROR(AO23*100000000/'Calc-Units'!$E$21)," ",AO23*100000000/'Calc-Units'!$E$21)</f>
        <v>0.0006225746237808585</v>
      </c>
      <c r="AV23" s="101">
        <f>IF(ISERROR(AP23*100000000/'Calc-Units'!$D$21)," ",AP23*100000000/'Calc-Units'!$D$21)</f>
        <v>0.0007526713165535197</v>
      </c>
      <c r="AW23" s="101">
        <f>IF(ISERROR(AQ23*100000000/'Calc-Units'!$C$21)," ",AQ23*100000000/'Calc-Units'!$C$21)</f>
        <v>0.00027553914710087433</v>
      </c>
      <c r="AX23" s="291">
        <f>IF(ISERROR(AR23*100000000/'Calc-Units'!$C$21)," ",AR23*100000000/'Calc-Units'!$C$21)</f>
        <v>0.001731392503401648</v>
      </c>
      <c r="AZ23" s="106"/>
      <c r="BA23" s="106"/>
    </row>
    <row r="24" spans="1:53" s="109" customFormat="1" ht="12.75">
      <c r="A24" s="111"/>
      <c r="B24" s="110"/>
      <c r="C24" s="138" t="s">
        <v>138</v>
      </c>
      <c r="D24" s="151">
        <f>'RRP 1.3'!V$12</f>
        <v>1.2</v>
      </c>
      <c r="E24" s="151">
        <v>0</v>
      </c>
      <c r="F24" s="151">
        <v>0</v>
      </c>
      <c r="G24" s="151">
        <v>0</v>
      </c>
      <c r="H24" s="151">
        <v>0</v>
      </c>
      <c r="I24" s="151">
        <f t="shared" si="0"/>
        <v>1.2</v>
      </c>
      <c r="J24" s="143"/>
      <c r="K24" s="105"/>
      <c r="L24" s="151" t="s">
        <v>232</v>
      </c>
      <c r="M24" s="164">
        <f>IF(ISERROR(VLOOKUP($L24,'Calc-Drivers'!$B$17:$F$27,M$42,FALSE))," ",VLOOKUP($L24,'Calc-Drivers'!$B$17:$F$27,M$42,FALSE))</f>
        <v>0.2196109260751124</v>
      </c>
      <c r="N24" s="164">
        <f>IF(ISERROR(VLOOKUP($L24,'Calc-Drivers'!$B$17:$F$27,N$42,FALSE))," ",VLOOKUP($L24,'Calc-Drivers'!$B$17:$F$27,N$42,FALSE))</f>
        <v>0.25684360461638045</v>
      </c>
      <c r="O24" s="164">
        <f>IF(ISERROR(VLOOKUP($L24,'Calc-Drivers'!$B$17:$F$27,O$42,FALSE))," ",VLOOKUP($L24,'Calc-Drivers'!$B$17:$F$27,O$42,FALSE))</f>
        <v>0.07187951420551468</v>
      </c>
      <c r="P24" s="164">
        <f>IF(ISERROR(VLOOKUP($L24,'Calc-Drivers'!$B$17:$F$27,P$42,FALSE))," ",VLOOKUP($L24,'Calc-Drivers'!$B$17:$F$27,P$42,FALSE))</f>
        <v>0.4516659551029927</v>
      </c>
      <c r="Q24" s="178"/>
      <c r="R24" s="98"/>
      <c r="S24" s="99">
        <f t="shared" si="1"/>
        <v>0.26353311129013485</v>
      </c>
      <c r="T24" s="99">
        <f t="shared" si="2"/>
        <v>0.30821232553965655</v>
      </c>
      <c r="U24" s="99">
        <f t="shared" si="3"/>
        <v>0.08625541704661761</v>
      </c>
      <c r="V24" s="171">
        <f t="shared" si="4"/>
        <v>0.5419991461235912</v>
      </c>
      <c r="W24" s="100"/>
      <c r="X24" s="106"/>
      <c r="Y24" s="99">
        <f t="shared" si="5"/>
        <v>0.26353311129013485</v>
      </c>
      <c r="Z24" s="99">
        <f t="shared" si="6"/>
        <v>0.30821232553965655</v>
      </c>
      <c r="AA24" s="99">
        <f t="shared" si="7"/>
        <v>0.08625541704661761</v>
      </c>
      <c r="AB24" s="171">
        <f t="shared" si="8"/>
        <v>0.5419991461235912</v>
      </c>
      <c r="AC24" s="107"/>
      <c r="AD24" s="107"/>
      <c r="AE24" s="101">
        <f>IF(ISERROR(Y24*100000000/'Calc-Units'!$E$21)," ",Y24*100000000/'Calc-Units'!$E$21)</f>
        <v>0.0017501570701549183</v>
      </c>
      <c r="AF24" s="101">
        <f>IF(ISERROR(Z24*100000000/'Calc-Units'!$D$21)," ",Z24*100000000/'Calc-Units'!$D$21)</f>
        <v>0.0021158797288734826</v>
      </c>
      <c r="AG24" s="101">
        <f>IF(ISERROR(AA24*100000000/'Calc-Units'!$C$21)," ",AA24*100000000/'Calc-Units'!$C$21)</f>
        <v>0.0007745847131938274</v>
      </c>
      <c r="AH24" s="291">
        <f>IF(ISERROR(AB24*100000000/'Calc-Units'!$C$21)," ",AB24*100000000/'Calc-Units'!$C$21)</f>
        <v>0.004867221880389762</v>
      </c>
      <c r="AI24" s="108"/>
      <c r="AJ24" s="104">
        <v>0.5257</v>
      </c>
      <c r="AK24" s="96">
        <f t="shared" si="9"/>
        <v>0.63084</v>
      </c>
      <c r="AL24" s="97">
        <f t="shared" si="10"/>
        <v>0.56916</v>
      </c>
      <c r="AM24" s="96"/>
      <c r="AN24" s="96"/>
      <c r="AO24" s="99">
        <f t="shared" si="11"/>
        <v>0.12499375468491097</v>
      </c>
      <c r="AP24" s="99">
        <f t="shared" si="12"/>
        <v>0.14618510600345913</v>
      </c>
      <c r="AQ24" s="99">
        <f t="shared" si="13"/>
        <v>0.040910944305210736</v>
      </c>
      <c r="AR24" s="171">
        <f t="shared" si="14"/>
        <v>0.25707019500641937</v>
      </c>
      <c r="AS24" s="100"/>
      <c r="AT24" s="108"/>
      <c r="AU24" s="101">
        <f>IF(ISERROR(AO24*100000000/'Calc-Units'!$E$21)," ",AO24*100000000/'Calc-Units'!$E$21)</f>
        <v>0.0008300994983744779</v>
      </c>
      <c r="AV24" s="101">
        <f>IF(ISERROR(AP24*100000000/'Calc-Units'!$D$21)," ",AP24*100000000/'Calc-Units'!$D$21)</f>
        <v>0.001003561755404693</v>
      </c>
      <c r="AW24" s="101">
        <f>IF(ISERROR(AQ24*100000000/'Calc-Units'!$C$21)," ",AQ24*100000000/'Calc-Units'!$C$21)</f>
        <v>0.0003673855294678324</v>
      </c>
      <c r="AX24" s="291">
        <f>IF(ISERROR(AR24*100000000/'Calc-Units'!$C$21)," ",AR24*100000000/'Calc-Units'!$C$21)</f>
        <v>0.0023085233378688647</v>
      </c>
      <c r="AZ24" s="106"/>
      <c r="BA24" s="106"/>
    </row>
    <row r="25" spans="1:53" s="109" customFormat="1" ht="12.75">
      <c r="A25" s="111"/>
      <c r="B25" s="110"/>
      <c r="C25" s="138" t="s">
        <v>726</v>
      </c>
      <c r="D25" s="151">
        <f>'RRP 1.3'!W$12</f>
        <v>5.9</v>
      </c>
      <c r="E25" s="151">
        <v>0</v>
      </c>
      <c r="F25" s="151">
        <v>0</v>
      </c>
      <c r="G25" s="151">
        <v>0</v>
      </c>
      <c r="H25" s="151">
        <v>0</v>
      </c>
      <c r="I25" s="151">
        <f t="shared" si="0"/>
        <v>5.9</v>
      </c>
      <c r="J25" s="143"/>
      <c r="K25" s="105"/>
      <c r="L25" s="151" t="s">
        <v>232</v>
      </c>
      <c r="M25" s="164">
        <f>IF(ISERROR(VLOOKUP($L25,'Calc-Drivers'!$B$17:$F$27,M$42,FALSE))," ",VLOOKUP($L25,'Calc-Drivers'!$B$17:$F$27,M$42,FALSE))</f>
        <v>0.2196109260751124</v>
      </c>
      <c r="N25" s="164">
        <f>IF(ISERROR(VLOOKUP($L25,'Calc-Drivers'!$B$17:$F$27,N$42,FALSE))," ",VLOOKUP($L25,'Calc-Drivers'!$B$17:$F$27,N$42,FALSE))</f>
        <v>0.25684360461638045</v>
      </c>
      <c r="O25" s="164">
        <f>IF(ISERROR(VLOOKUP($L25,'Calc-Drivers'!$B$17:$F$27,O$42,FALSE))," ",VLOOKUP($L25,'Calc-Drivers'!$B$17:$F$27,O$42,FALSE))</f>
        <v>0.07187951420551468</v>
      </c>
      <c r="P25" s="164">
        <f>IF(ISERROR(VLOOKUP($L25,'Calc-Drivers'!$B$17:$F$27,P$42,FALSE))," ",VLOOKUP($L25,'Calc-Drivers'!$B$17:$F$27,P$42,FALSE))</f>
        <v>0.4516659551029927</v>
      </c>
      <c r="Q25" s="178"/>
      <c r="R25" s="98"/>
      <c r="S25" s="99">
        <f t="shared" si="1"/>
        <v>1.2957044638431632</v>
      </c>
      <c r="T25" s="99">
        <f t="shared" si="2"/>
        <v>1.5153772672366448</v>
      </c>
      <c r="U25" s="99">
        <f t="shared" si="3"/>
        <v>0.42408913381253666</v>
      </c>
      <c r="V25" s="171">
        <f t="shared" si="4"/>
        <v>2.664829135107657</v>
      </c>
      <c r="W25" s="100"/>
      <c r="X25" s="106"/>
      <c r="Y25" s="99">
        <f t="shared" si="5"/>
        <v>1.2957044638431632</v>
      </c>
      <c r="Z25" s="99">
        <f t="shared" si="6"/>
        <v>1.5153772672366448</v>
      </c>
      <c r="AA25" s="99">
        <f t="shared" si="7"/>
        <v>0.42408913381253666</v>
      </c>
      <c r="AB25" s="171">
        <f t="shared" si="8"/>
        <v>2.664829135107657</v>
      </c>
      <c r="AC25" s="107"/>
      <c r="AD25" s="107"/>
      <c r="AE25" s="101">
        <f>IF(ISERROR(Y25*100000000/'Calc-Units'!$E$21)," ",Y25*100000000/'Calc-Units'!$E$21)</f>
        <v>0.008604938928261684</v>
      </c>
      <c r="AF25" s="101">
        <f>IF(ISERROR(Z25*100000000/'Calc-Units'!$D$21)," ",Z25*100000000/'Calc-Units'!$D$21)</f>
        <v>0.010403075333627958</v>
      </c>
      <c r="AG25" s="101">
        <f>IF(ISERROR(AA25*100000000/'Calc-Units'!$C$21)," ",AA25*100000000/'Calc-Units'!$C$21)</f>
        <v>0.0038083748398696523</v>
      </c>
      <c r="AH25" s="291">
        <f>IF(ISERROR(AB25*100000000/'Calc-Units'!$C$21)," ",AB25*100000000/'Calc-Units'!$C$21)</f>
        <v>0.023930507578583</v>
      </c>
      <c r="AI25" s="108"/>
      <c r="AJ25" s="104">
        <v>0.5257</v>
      </c>
      <c r="AK25" s="96">
        <f t="shared" si="9"/>
        <v>3.1016299999999997</v>
      </c>
      <c r="AL25" s="97">
        <f t="shared" si="10"/>
        <v>2.7983700000000007</v>
      </c>
      <c r="AM25" s="96"/>
      <c r="AN25" s="96"/>
      <c r="AO25" s="99">
        <f t="shared" si="11"/>
        <v>0.6145526272008124</v>
      </c>
      <c r="AP25" s="99">
        <f t="shared" si="12"/>
        <v>0.7187434378503407</v>
      </c>
      <c r="AQ25" s="99">
        <f t="shared" si="13"/>
        <v>0.20114547616728615</v>
      </c>
      <c r="AR25" s="171">
        <f t="shared" si="14"/>
        <v>1.263928458781562</v>
      </c>
      <c r="AS25" s="100"/>
      <c r="AT25" s="108"/>
      <c r="AU25" s="101">
        <f>IF(ISERROR(AO25*100000000/'Calc-Units'!$E$21)," ",AO25*100000000/'Calc-Units'!$E$21)</f>
        <v>0.004081322533674517</v>
      </c>
      <c r="AV25" s="101">
        <f>IF(ISERROR(AP25*100000000/'Calc-Units'!$D$21)," ",AP25*100000000/'Calc-Units'!$D$21)</f>
        <v>0.00493417863073974</v>
      </c>
      <c r="AW25" s="101">
        <f>IF(ISERROR(AQ25*100000000/'Calc-Units'!$C$21)," ",AQ25*100000000/'Calc-Units'!$C$21)</f>
        <v>0.0018063121865501762</v>
      </c>
      <c r="AX25" s="291">
        <f>IF(ISERROR(AR25*100000000/'Calc-Units'!$C$21)," ",AR25*100000000/'Calc-Units'!$C$21)</f>
        <v>0.011350239744521918</v>
      </c>
      <c r="AZ25" s="106"/>
      <c r="BA25" s="106"/>
    </row>
    <row r="26" spans="1:53" s="109" customFormat="1" ht="12.75">
      <c r="A26" s="114"/>
      <c r="B26" s="110"/>
      <c r="C26" s="138" t="s">
        <v>112</v>
      </c>
      <c r="D26" s="151">
        <f>'RRP 1.3'!X$12</f>
        <v>1.6</v>
      </c>
      <c r="E26" s="151">
        <v>0</v>
      </c>
      <c r="F26" s="151">
        <v>0</v>
      </c>
      <c r="G26" s="151">
        <v>0</v>
      </c>
      <c r="H26" s="151">
        <v>0</v>
      </c>
      <c r="I26" s="151">
        <f t="shared" si="0"/>
        <v>1.6</v>
      </c>
      <c r="J26" s="143"/>
      <c r="K26" s="105"/>
      <c r="L26" s="173" t="s">
        <v>232</v>
      </c>
      <c r="M26" s="164">
        <f>IF(ISERROR(VLOOKUP($L26,'Calc-Drivers'!$B$17:$F$27,M$42,FALSE))," ",VLOOKUP($L26,'Calc-Drivers'!$B$17:$F$27,M$42,FALSE))</f>
        <v>0.2196109260751124</v>
      </c>
      <c r="N26" s="164">
        <f>IF(ISERROR(VLOOKUP($L26,'Calc-Drivers'!$B$17:$F$27,N$42,FALSE))," ",VLOOKUP($L26,'Calc-Drivers'!$B$17:$F$27,N$42,FALSE))</f>
        <v>0.25684360461638045</v>
      </c>
      <c r="O26" s="164">
        <f>IF(ISERROR(VLOOKUP($L26,'Calc-Drivers'!$B$17:$F$27,O$42,FALSE))," ",VLOOKUP($L26,'Calc-Drivers'!$B$17:$F$27,O$42,FALSE))</f>
        <v>0.07187951420551468</v>
      </c>
      <c r="P26" s="164">
        <f>IF(ISERROR(VLOOKUP($L26,'Calc-Drivers'!$B$17:$F$27,P$42,FALSE))," ",VLOOKUP($L26,'Calc-Drivers'!$B$17:$F$27,P$42,FALSE))</f>
        <v>0.4516659551029927</v>
      </c>
      <c r="Q26" s="178"/>
      <c r="R26" s="98"/>
      <c r="S26" s="99">
        <f t="shared" si="1"/>
        <v>0.35137748172017985</v>
      </c>
      <c r="T26" s="99">
        <f t="shared" si="2"/>
        <v>0.41094976738620875</v>
      </c>
      <c r="U26" s="99">
        <f t="shared" si="3"/>
        <v>0.1150072227288235</v>
      </c>
      <c r="V26" s="171">
        <f t="shared" si="4"/>
        <v>0.7226655281647884</v>
      </c>
      <c r="W26" s="100"/>
      <c r="X26" s="106"/>
      <c r="Y26" s="175">
        <f t="shared" si="5"/>
        <v>0.35137748172017985</v>
      </c>
      <c r="Z26" s="175">
        <f t="shared" si="6"/>
        <v>0.41094976738620875</v>
      </c>
      <c r="AA26" s="175">
        <f t="shared" si="7"/>
        <v>0.1150072227288235</v>
      </c>
      <c r="AB26" s="172">
        <f t="shared" si="8"/>
        <v>0.7226655281647884</v>
      </c>
      <c r="AC26" s="107"/>
      <c r="AD26" s="107"/>
      <c r="AE26" s="292">
        <f>IF(ISERROR(Y26*100000000/'Calc-Units'!$E$21)," ",Y26*100000000/'Calc-Units'!$E$21)</f>
        <v>0.002333542760206558</v>
      </c>
      <c r="AF26" s="292">
        <f>IF(ISERROR(Z26*100000000/'Calc-Units'!$D$21)," ",Z26*100000000/'Calc-Units'!$D$21)</f>
        <v>0.0028211729718313106</v>
      </c>
      <c r="AG26" s="292">
        <f>IF(ISERROR(AA26*100000000/'Calc-Units'!$C$21)," ",AA26*100000000/'Calc-Units'!$C$21)</f>
        <v>0.00103277961759177</v>
      </c>
      <c r="AH26" s="293">
        <f>IF(ISERROR(AB26*100000000/'Calc-Units'!$C$21)," ",AB26*100000000/'Calc-Units'!$C$21)</f>
        <v>0.006489629173853016</v>
      </c>
      <c r="AI26" s="108"/>
      <c r="AJ26" s="336">
        <v>0.5257</v>
      </c>
      <c r="AK26" s="297">
        <f t="shared" si="9"/>
        <v>0.84112</v>
      </c>
      <c r="AL26" s="298">
        <f t="shared" si="10"/>
        <v>0.7588800000000001</v>
      </c>
      <c r="AM26" s="96"/>
      <c r="AN26" s="96"/>
      <c r="AO26" s="175">
        <f t="shared" si="11"/>
        <v>0.16665833957988133</v>
      </c>
      <c r="AP26" s="175">
        <f t="shared" si="12"/>
        <v>0.19491347467127884</v>
      </c>
      <c r="AQ26" s="175">
        <f t="shared" si="13"/>
        <v>0.054547925740280986</v>
      </c>
      <c r="AR26" s="172">
        <f t="shared" si="14"/>
        <v>0.34276026000855914</v>
      </c>
      <c r="AS26" s="100"/>
      <c r="AT26" s="108"/>
      <c r="AU26" s="292">
        <f>IF(ISERROR(AO26*100000000/'Calc-Units'!$E$21)," ",AO26*100000000/'Calc-Units'!$E$21)</f>
        <v>0.0011067993311659706</v>
      </c>
      <c r="AV26" s="292">
        <f>IF(ISERROR(AP26*100000000/'Calc-Units'!$D$21)," ",AP26*100000000/'Calc-Units'!$D$21)</f>
        <v>0.0013380823405395909</v>
      </c>
      <c r="AW26" s="292">
        <f>IF(ISERROR(AQ26*100000000/'Calc-Units'!$C$21)," ",AQ26*100000000/'Calc-Units'!$C$21)</f>
        <v>0.0004898473726237766</v>
      </c>
      <c r="AX26" s="293">
        <f>IF(ISERROR(AR26*100000000/'Calc-Units'!$C$21)," ",AR26*100000000/'Calc-Units'!$C$21)</f>
        <v>0.0030780311171584858</v>
      </c>
      <c r="AZ26" s="106"/>
      <c r="BA26" s="106"/>
    </row>
    <row r="27" spans="1:53" s="93" customFormat="1" ht="12.75" customHeight="1">
      <c r="A27" s="113" t="s">
        <v>143</v>
      </c>
      <c r="B27" s="134"/>
      <c r="C27" s="113" t="s">
        <v>113</v>
      </c>
      <c r="D27" s="152">
        <f>'RRP 1.3'!Y$12</f>
        <v>7.3</v>
      </c>
      <c r="E27" s="152">
        <v>0</v>
      </c>
      <c r="F27" s="152">
        <v>0</v>
      </c>
      <c r="G27" s="152">
        <v>0</v>
      </c>
      <c r="H27" s="152">
        <v>0</v>
      </c>
      <c r="I27" s="152">
        <f t="shared" si="0"/>
        <v>7.3</v>
      </c>
      <c r="J27" s="144"/>
      <c r="K27" s="96"/>
      <c r="L27" s="153" t="s">
        <v>111</v>
      </c>
      <c r="M27" s="164" t="str">
        <f>IF(ISERROR(VLOOKUP($L27,'Calc-Drivers'!$B$17:$F$27,M$42,FALSE))," ",VLOOKUP($L27,'Calc-Drivers'!$B$17:$F$27,M$42,FALSE))</f>
        <v> </v>
      </c>
      <c r="N27" s="164" t="str">
        <f>IF(ISERROR(VLOOKUP($L27,'Calc-Drivers'!$B$17:$F$27,N$42,FALSE))," ",VLOOKUP($L27,'Calc-Drivers'!$B$17:$F$27,N$42,FALSE))</f>
        <v> </v>
      </c>
      <c r="O27" s="164" t="str">
        <f>IF(ISERROR(VLOOKUP($L27,'Calc-Drivers'!$B$17:$F$27,O$42,FALSE))," ",VLOOKUP($L27,'Calc-Drivers'!$B$17:$F$27,O$42,FALSE))</f>
        <v> </v>
      </c>
      <c r="P27" s="164" t="str">
        <f>IF(ISERROR(VLOOKUP($L27,'Calc-Drivers'!$B$17:$F$27,P$42,FALSE))," ",VLOOKUP($L27,'Calc-Drivers'!$B$17:$F$27,P$42,FALSE))</f>
        <v> </v>
      </c>
      <c r="Q27" s="178"/>
      <c r="R27" s="98"/>
      <c r="S27" s="174" t="str">
        <f t="shared" si="1"/>
        <v> </v>
      </c>
      <c r="T27" s="174" t="str">
        <f t="shared" si="2"/>
        <v> </v>
      </c>
      <c r="U27" s="174" t="str">
        <f t="shared" si="3"/>
        <v> </v>
      </c>
      <c r="V27" s="170" t="str">
        <f t="shared" si="4"/>
        <v> </v>
      </c>
      <c r="W27" s="100"/>
      <c r="X27" s="94"/>
      <c r="Y27" s="174" t="str">
        <f t="shared" si="5"/>
        <v> </v>
      </c>
      <c r="Z27" s="174" t="str">
        <f t="shared" si="6"/>
        <v> </v>
      </c>
      <c r="AA27" s="174" t="str">
        <f t="shared" si="7"/>
        <v> </v>
      </c>
      <c r="AB27" s="170" t="str">
        <f t="shared" si="8"/>
        <v> </v>
      </c>
      <c r="AC27" s="100"/>
      <c r="AD27" s="100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2"/>
      <c r="AJ27" s="112">
        <v>0</v>
      </c>
      <c r="AK27" s="96">
        <f t="shared" si="9"/>
        <v>0</v>
      </c>
      <c r="AL27" s="97">
        <f t="shared" si="10"/>
        <v>7.3</v>
      </c>
      <c r="AM27" s="96"/>
      <c r="AN27" s="96"/>
      <c r="AO27" s="174" t="str">
        <f t="shared" si="11"/>
        <v> </v>
      </c>
      <c r="AP27" s="174" t="str">
        <f t="shared" si="12"/>
        <v> </v>
      </c>
      <c r="AQ27" s="174" t="str">
        <f t="shared" si="13"/>
        <v> </v>
      </c>
      <c r="AR27" s="170" t="str">
        <f t="shared" si="14"/>
        <v> </v>
      </c>
      <c r="AS27" s="100"/>
      <c r="AT27" s="102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6"/>
      <c r="BA27" s="94"/>
    </row>
    <row r="28" spans="1:53" s="93" customFormat="1" ht="12.75">
      <c r="A28" s="111"/>
      <c r="B28" s="135"/>
      <c r="C28" s="111" t="s">
        <v>114</v>
      </c>
      <c r="D28" s="153">
        <f>'RRP 1.3'!Z$12</f>
        <v>20.5</v>
      </c>
      <c r="E28" s="153">
        <v>0</v>
      </c>
      <c r="F28" s="153">
        <v>0</v>
      </c>
      <c r="G28" s="153">
        <v>0</v>
      </c>
      <c r="H28" s="153">
        <v>0</v>
      </c>
      <c r="I28" s="153">
        <f t="shared" si="0"/>
        <v>20.5</v>
      </c>
      <c r="J28" s="144"/>
      <c r="K28" s="96"/>
      <c r="L28" s="152" t="s">
        <v>111</v>
      </c>
      <c r="M28" s="286" t="str">
        <f>IF(ISERROR(VLOOKUP($L28,'Calc-Drivers'!$B$17:$F$27,M$42,FALSE))," ",VLOOKUP($L28,'Calc-Drivers'!$B$17:$F$27,M$42,FALSE))</f>
        <v> </v>
      </c>
      <c r="N28" s="286" t="str">
        <f>IF(ISERROR(VLOOKUP($L28,'Calc-Drivers'!$B$17:$F$27,N$42,FALSE))," ",VLOOKUP($L28,'Calc-Drivers'!$B$17:$F$27,N$42,FALSE))</f>
        <v> </v>
      </c>
      <c r="O28" s="286" t="str">
        <f>IF(ISERROR(VLOOKUP($L28,'Calc-Drivers'!$B$17:$F$27,O$42,FALSE))," ",VLOOKUP($L28,'Calc-Drivers'!$B$17:$F$27,O$42,FALSE))</f>
        <v> </v>
      </c>
      <c r="P28" s="286" t="str">
        <f>IF(ISERROR(VLOOKUP($L28,'Calc-Drivers'!$B$17:$F$27,P$42,FALSE))," ",VLOOKUP($L28,'Calc-Drivers'!$B$17:$F$27,P$42,FALSE))</f>
        <v> </v>
      </c>
      <c r="Q28" s="178"/>
      <c r="R28" s="98"/>
      <c r="S28" s="99" t="str">
        <f t="shared" si="1"/>
        <v> </v>
      </c>
      <c r="T28" s="99" t="str">
        <f t="shared" si="2"/>
        <v> </v>
      </c>
      <c r="U28" s="99" t="str">
        <f t="shared" si="3"/>
        <v> </v>
      </c>
      <c r="V28" s="171" t="str">
        <f t="shared" si="4"/>
        <v> </v>
      </c>
      <c r="W28" s="100"/>
      <c r="X28" s="94"/>
      <c r="Y28" s="99" t="str">
        <f t="shared" si="5"/>
        <v> </v>
      </c>
      <c r="Z28" s="99" t="str">
        <f t="shared" si="6"/>
        <v> </v>
      </c>
      <c r="AA28" s="99" t="str">
        <f t="shared" si="7"/>
        <v> </v>
      </c>
      <c r="AB28" s="171" t="str">
        <f t="shared" si="8"/>
        <v> </v>
      </c>
      <c r="AC28" s="100"/>
      <c r="AD28" s="100"/>
      <c r="AE28" s="101" t="str">
        <f>IF(ISERROR(Y28*100000000/'Calc-Units'!$E$21)," ",Y28*100000000/'Calc-Units'!$E$21)</f>
        <v> </v>
      </c>
      <c r="AF28" s="101" t="str">
        <f>IF(ISERROR(Z28*100000000/'Calc-Units'!$D$21)," ",Z28*100000000/'Calc-Units'!$D$21)</f>
        <v> </v>
      </c>
      <c r="AG28" s="101" t="str">
        <f>IF(ISERROR(AA28*100000000/'Calc-Units'!$C$21)," ",AA28*100000000/'Calc-Units'!$C$21)</f>
        <v> </v>
      </c>
      <c r="AH28" s="291" t="str">
        <f>IF(ISERROR(AB28*100000000/'Calc-Units'!$C$21)," ",AB28*100000000/'Calc-Units'!$C$21)</f>
        <v> </v>
      </c>
      <c r="AI28" s="102"/>
      <c r="AJ28" s="112">
        <v>0.577</v>
      </c>
      <c r="AK28" s="96">
        <f t="shared" si="9"/>
        <v>11.828499999999998</v>
      </c>
      <c r="AL28" s="97">
        <f t="shared" si="10"/>
        <v>8.671500000000002</v>
      </c>
      <c r="AM28" s="96"/>
      <c r="AN28" s="96"/>
      <c r="AO28" s="99" t="str">
        <f t="shared" si="11"/>
        <v> </v>
      </c>
      <c r="AP28" s="99" t="str">
        <f t="shared" si="12"/>
        <v> </v>
      </c>
      <c r="AQ28" s="99" t="str">
        <f t="shared" si="13"/>
        <v> </v>
      </c>
      <c r="AR28" s="171" t="str">
        <f t="shared" si="14"/>
        <v> </v>
      </c>
      <c r="AS28" s="100"/>
      <c r="AT28" s="102"/>
      <c r="AU28" s="101" t="str">
        <f>IF(ISERROR(AO28*100000000/'Calc-Units'!$E$21)," ",AO28*100000000/'Calc-Units'!$E$21)</f>
        <v> </v>
      </c>
      <c r="AV28" s="101" t="str">
        <f>IF(ISERROR(AP28*100000000/'Calc-Units'!$D$21)," ",AP28*100000000/'Calc-Units'!$D$21)</f>
        <v> </v>
      </c>
      <c r="AW28" s="101" t="str">
        <f>IF(ISERROR(AQ28*100000000/'Calc-Units'!$C$21)," ",AQ28*100000000/'Calc-Units'!$C$21)</f>
        <v> </v>
      </c>
      <c r="AX28" s="291" t="str">
        <f>IF(ISERROR(AR28*100000000/'Calc-Units'!$C$21)," ",AR28*100000000/'Calc-Units'!$C$21)</f>
        <v> </v>
      </c>
      <c r="AZ28" s="106"/>
      <c r="BA28" s="94"/>
    </row>
    <row r="29" spans="1:53" s="93" customFormat="1" ht="12.75">
      <c r="A29" s="111"/>
      <c r="B29" s="135"/>
      <c r="C29" s="111" t="s">
        <v>379</v>
      </c>
      <c r="D29" s="153">
        <f>'RRP 1.3'!AA$12</f>
        <v>5.8</v>
      </c>
      <c r="E29" s="153">
        <v>0</v>
      </c>
      <c r="F29" s="153">
        <v>0</v>
      </c>
      <c r="G29" s="153">
        <v>0</v>
      </c>
      <c r="H29" s="153">
        <v>0</v>
      </c>
      <c r="I29" s="153">
        <f t="shared" si="0"/>
        <v>5.8</v>
      </c>
      <c r="J29" s="144"/>
      <c r="K29" s="96"/>
      <c r="L29" s="153" t="s">
        <v>111</v>
      </c>
      <c r="M29" s="164" t="str">
        <f>IF(ISERROR(VLOOKUP($L29,'Calc-Drivers'!$B$17:$F$27,M$42,FALSE))," ",VLOOKUP($L29,'Calc-Drivers'!$B$17:$F$27,M$42,FALSE))</f>
        <v> </v>
      </c>
      <c r="N29" s="164" t="str">
        <f>IF(ISERROR(VLOOKUP($L29,'Calc-Drivers'!$B$17:$F$27,N$42,FALSE))," ",VLOOKUP($L29,'Calc-Drivers'!$B$17:$F$27,N$42,FALSE))</f>
        <v> </v>
      </c>
      <c r="O29" s="164" t="str">
        <f>IF(ISERROR(VLOOKUP($L29,'Calc-Drivers'!$B$17:$F$27,O$42,FALSE))," ",VLOOKUP($L29,'Calc-Drivers'!$B$17:$F$27,O$42,FALSE))</f>
        <v> </v>
      </c>
      <c r="P29" s="164" t="str">
        <f>IF(ISERROR(VLOOKUP($L29,'Calc-Drivers'!$B$17:$F$27,P$42,FALSE))," ",VLOOKUP($L29,'Calc-Drivers'!$B$17:$F$27,P$42,FALSE))</f>
        <v> </v>
      </c>
      <c r="Q29" s="178"/>
      <c r="R29" s="98"/>
      <c r="S29" s="99" t="str">
        <f t="shared" si="1"/>
        <v> </v>
      </c>
      <c r="T29" s="99" t="str">
        <f t="shared" si="2"/>
        <v> </v>
      </c>
      <c r="U29" s="99" t="str">
        <f t="shared" si="3"/>
        <v> </v>
      </c>
      <c r="V29" s="171" t="str">
        <f t="shared" si="4"/>
        <v> </v>
      </c>
      <c r="W29" s="100"/>
      <c r="X29" s="94"/>
      <c r="Y29" s="99" t="str">
        <f t="shared" si="5"/>
        <v> </v>
      </c>
      <c r="Z29" s="99" t="str">
        <f t="shared" si="6"/>
        <v> </v>
      </c>
      <c r="AA29" s="99" t="str">
        <f t="shared" si="7"/>
        <v> </v>
      </c>
      <c r="AB29" s="171" t="str">
        <f t="shared" si="8"/>
        <v> </v>
      </c>
      <c r="AC29" s="100"/>
      <c r="AD29" s="100"/>
      <c r="AE29" s="101" t="str">
        <f>IF(ISERROR(Y29*100000000/'Calc-Units'!$E$21)," ",Y29*100000000/'Calc-Units'!$E$21)</f>
        <v> </v>
      </c>
      <c r="AF29" s="101" t="str">
        <f>IF(ISERROR(Z29*100000000/'Calc-Units'!$D$21)," ",Z29*100000000/'Calc-Units'!$D$21)</f>
        <v> </v>
      </c>
      <c r="AG29" s="101" t="str">
        <f>IF(ISERROR(AA29*100000000/'Calc-Units'!$C$21)," ",AA29*100000000/'Calc-Units'!$C$21)</f>
        <v> </v>
      </c>
      <c r="AH29" s="291" t="str">
        <f>IF(ISERROR(AB29*100000000/'Calc-Units'!$C$21)," ",AB29*100000000/'Calc-Units'!$C$21)</f>
        <v> </v>
      </c>
      <c r="AI29" s="102"/>
      <c r="AJ29" s="112">
        <v>0</v>
      </c>
      <c r="AK29" s="96">
        <f t="shared" si="9"/>
        <v>0</v>
      </c>
      <c r="AL29" s="97">
        <f t="shared" si="10"/>
        <v>5.8</v>
      </c>
      <c r="AM29" s="96"/>
      <c r="AN29" s="96"/>
      <c r="AO29" s="99" t="str">
        <f t="shared" si="11"/>
        <v> </v>
      </c>
      <c r="AP29" s="99" t="str">
        <f t="shared" si="12"/>
        <v> </v>
      </c>
      <c r="AQ29" s="99" t="str">
        <f t="shared" si="13"/>
        <v> </v>
      </c>
      <c r="AR29" s="171" t="str">
        <f t="shared" si="14"/>
        <v> </v>
      </c>
      <c r="AS29" s="100"/>
      <c r="AT29" s="102"/>
      <c r="AU29" s="101" t="str">
        <f>IF(ISERROR(AO29*100000000/'Calc-Units'!$E$21)," ",AO29*100000000/'Calc-Units'!$E$21)</f>
        <v> </v>
      </c>
      <c r="AV29" s="101" t="str">
        <f>IF(ISERROR(AP29*100000000/'Calc-Units'!$D$21)," ",AP29*100000000/'Calc-Units'!$D$21)</f>
        <v> </v>
      </c>
      <c r="AW29" s="101" t="str">
        <f>IF(ISERROR(AQ29*100000000/'Calc-Units'!$C$21)," ",AQ29*100000000/'Calc-Units'!$C$21)</f>
        <v> </v>
      </c>
      <c r="AX29" s="291" t="str">
        <f>IF(ISERROR(AR29*100000000/'Calc-Units'!$C$21)," ",AR29*100000000/'Calc-Units'!$C$21)</f>
        <v> </v>
      </c>
      <c r="AZ29" s="94"/>
      <c r="BA29" s="94"/>
    </row>
    <row r="30" spans="1:53" s="93" customFormat="1" ht="12.75">
      <c r="A30" s="111"/>
      <c r="B30" s="135"/>
      <c r="C30" s="111" t="s">
        <v>380</v>
      </c>
      <c r="D30" s="153">
        <f>'RRP 1.3'!AB$12</f>
        <v>25.2</v>
      </c>
      <c r="E30" s="153">
        <v>0</v>
      </c>
      <c r="F30" s="153">
        <v>0</v>
      </c>
      <c r="G30" s="153">
        <v>0</v>
      </c>
      <c r="H30" s="153">
        <v>0</v>
      </c>
      <c r="I30" s="153">
        <f t="shared" si="0"/>
        <v>25.2</v>
      </c>
      <c r="J30" s="144"/>
      <c r="K30" s="96"/>
      <c r="L30" s="153" t="s">
        <v>111</v>
      </c>
      <c r="M30" s="164" t="str">
        <f>IF(ISERROR(VLOOKUP($L30,'Calc-Drivers'!$B$17:$F$27,M$42,FALSE))," ",VLOOKUP($L30,'Calc-Drivers'!$B$17:$F$27,M$42,FALSE))</f>
        <v> </v>
      </c>
      <c r="N30" s="164" t="str">
        <f>IF(ISERROR(VLOOKUP($L30,'Calc-Drivers'!$B$17:$F$27,N$42,FALSE))," ",VLOOKUP($L30,'Calc-Drivers'!$B$17:$F$27,N$42,FALSE))</f>
        <v> </v>
      </c>
      <c r="O30" s="164" t="str">
        <f>IF(ISERROR(VLOOKUP($L30,'Calc-Drivers'!$B$17:$F$27,O$42,FALSE))," ",VLOOKUP($L30,'Calc-Drivers'!$B$17:$F$27,O$42,FALSE))</f>
        <v> </v>
      </c>
      <c r="P30" s="164" t="str">
        <f>IF(ISERROR(VLOOKUP($L30,'Calc-Drivers'!$B$17:$F$27,P$42,FALSE))," ",VLOOKUP($L30,'Calc-Drivers'!$B$17:$F$27,P$42,FALSE))</f>
        <v> </v>
      </c>
      <c r="Q30" s="178"/>
      <c r="R30" s="98"/>
      <c r="S30" s="99" t="str">
        <f t="shared" si="1"/>
        <v> </v>
      </c>
      <c r="T30" s="99" t="str">
        <f t="shared" si="2"/>
        <v> </v>
      </c>
      <c r="U30" s="99" t="str">
        <f t="shared" si="3"/>
        <v> </v>
      </c>
      <c r="V30" s="171" t="str">
        <f t="shared" si="4"/>
        <v> </v>
      </c>
      <c r="W30" s="100"/>
      <c r="X30" s="94"/>
      <c r="Y30" s="99" t="str">
        <f t="shared" si="5"/>
        <v> </v>
      </c>
      <c r="Z30" s="99" t="str">
        <f t="shared" si="6"/>
        <v> </v>
      </c>
      <c r="AA30" s="99" t="str">
        <f t="shared" si="7"/>
        <v> </v>
      </c>
      <c r="AB30" s="171" t="str">
        <f t="shared" si="8"/>
        <v> </v>
      </c>
      <c r="AC30" s="100"/>
      <c r="AD30" s="100"/>
      <c r="AE30" s="101" t="str">
        <f>IF(ISERROR(Y30*100000000/'Calc-Units'!$E$21)," ",Y30*100000000/'Calc-Units'!$E$21)</f>
        <v> </v>
      </c>
      <c r="AF30" s="101" t="str">
        <f>IF(ISERROR(Z30*100000000/'Calc-Units'!$D$21)," ",Z30*100000000/'Calc-Units'!$D$21)</f>
        <v> </v>
      </c>
      <c r="AG30" s="101" t="str">
        <f>IF(ISERROR(AA30*100000000/'Calc-Units'!$C$21)," ",AA30*100000000/'Calc-Units'!$C$21)</f>
        <v> </v>
      </c>
      <c r="AH30" s="291" t="str">
        <f>IF(ISERROR(AB30*100000000/'Calc-Units'!$C$21)," ",AB30*100000000/'Calc-Units'!$C$21)</f>
        <v> </v>
      </c>
      <c r="AI30" s="102"/>
      <c r="AJ30" s="112">
        <v>0</v>
      </c>
      <c r="AK30" s="96">
        <f t="shared" si="9"/>
        <v>0</v>
      </c>
      <c r="AL30" s="97">
        <f t="shared" si="10"/>
        <v>25.2</v>
      </c>
      <c r="AM30" s="96"/>
      <c r="AN30" s="96"/>
      <c r="AO30" s="99" t="str">
        <f t="shared" si="11"/>
        <v> </v>
      </c>
      <c r="AP30" s="99" t="str">
        <f t="shared" si="12"/>
        <v> </v>
      </c>
      <c r="AQ30" s="99" t="str">
        <f t="shared" si="13"/>
        <v> </v>
      </c>
      <c r="AR30" s="171" t="str">
        <f t="shared" si="14"/>
        <v> </v>
      </c>
      <c r="AS30" s="100"/>
      <c r="AT30" s="102"/>
      <c r="AU30" s="101" t="str">
        <f>IF(ISERROR(AO30*100000000/'Calc-Units'!$E$21)," ",AO30*100000000/'Calc-Units'!$E$21)</f>
        <v> </v>
      </c>
      <c r="AV30" s="101" t="str">
        <f>IF(ISERROR(AP30*100000000/'Calc-Units'!$D$21)," ",AP30*100000000/'Calc-Units'!$D$21)</f>
        <v> </v>
      </c>
      <c r="AW30" s="101" t="str">
        <f>IF(ISERROR(AQ30*100000000/'Calc-Units'!$C$21)," ",AQ30*100000000/'Calc-Units'!$C$21)</f>
        <v> </v>
      </c>
      <c r="AX30" s="291" t="str">
        <f>IF(ISERROR(AR30*100000000/'Calc-Units'!$C$21)," ",AR30*100000000/'Calc-Units'!$C$21)</f>
        <v> </v>
      </c>
      <c r="AZ30" s="94"/>
      <c r="BA30" s="94"/>
    </row>
    <row r="31" spans="1:53" s="93" customFormat="1" ht="12.75">
      <c r="A31" s="111"/>
      <c r="B31" s="135"/>
      <c r="C31" s="111" t="s">
        <v>489</v>
      </c>
      <c r="D31" s="153">
        <f>'RRP 1.3'!AC$12</f>
        <v>0.3</v>
      </c>
      <c r="E31" s="153">
        <v>0</v>
      </c>
      <c r="F31" s="153">
        <v>0</v>
      </c>
      <c r="G31" s="153">
        <v>0</v>
      </c>
      <c r="H31" s="153">
        <v>0</v>
      </c>
      <c r="I31" s="153">
        <f t="shared" si="0"/>
        <v>0.3</v>
      </c>
      <c r="J31" s="144"/>
      <c r="K31" s="96"/>
      <c r="L31" s="153" t="s">
        <v>111</v>
      </c>
      <c r="M31" s="164" t="str">
        <f>IF(ISERROR(VLOOKUP($L31,'Calc-Drivers'!$B$17:$F$27,M$42,FALSE))," ",VLOOKUP($L31,'Calc-Drivers'!$B$17:$F$27,M$42,FALSE))</f>
        <v> </v>
      </c>
      <c r="N31" s="164" t="str">
        <f>IF(ISERROR(VLOOKUP($L31,'Calc-Drivers'!$B$17:$F$27,N$42,FALSE))," ",VLOOKUP($L31,'Calc-Drivers'!$B$17:$F$27,N$42,FALSE))</f>
        <v> </v>
      </c>
      <c r="O31" s="164" t="str">
        <f>IF(ISERROR(VLOOKUP($L31,'Calc-Drivers'!$B$17:$F$27,O$42,FALSE))," ",VLOOKUP($L31,'Calc-Drivers'!$B$17:$F$27,O$42,FALSE))</f>
        <v> </v>
      </c>
      <c r="P31" s="164" t="str">
        <f>IF(ISERROR(VLOOKUP($L31,'Calc-Drivers'!$B$17:$F$27,P$42,FALSE))," ",VLOOKUP($L31,'Calc-Drivers'!$B$17:$F$27,P$42,FALSE))</f>
        <v> </v>
      </c>
      <c r="Q31" s="178"/>
      <c r="R31" s="98"/>
      <c r="S31" s="99" t="str">
        <f t="shared" si="1"/>
        <v> </v>
      </c>
      <c r="T31" s="99" t="str">
        <f t="shared" si="2"/>
        <v> </v>
      </c>
      <c r="U31" s="99" t="str">
        <f t="shared" si="3"/>
        <v> </v>
      </c>
      <c r="V31" s="171" t="str">
        <f t="shared" si="4"/>
        <v> </v>
      </c>
      <c r="W31" s="100"/>
      <c r="X31" s="94"/>
      <c r="Y31" s="99" t="str">
        <f t="shared" si="5"/>
        <v> </v>
      </c>
      <c r="Z31" s="99" t="str">
        <f t="shared" si="6"/>
        <v> </v>
      </c>
      <c r="AA31" s="99" t="str">
        <f t="shared" si="7"/>
        <v> </v>
      </c>
      <c r="AB31" s="171" t="str">
        <f t="shared" si="8"/>
        <v> </v>
      </c>
      <c r="AC31" s="100"/>
      <c r="AD31" s="100"/>
      <c r="AE31" s="101" t="str">
        <f>IF(ISERROR(Y31*100000000/'Calc-Units'!$E$21)," ",Y31*100000000/'Calc-Units'!$E$21)</f>
        <v> </v>
      </c>
      <c r="AF31" s="101" t="str">
        <f>IF(ISERROR(Z31*100000000/'Calc-Units'!$D$21)," ",Z31*100000000/'Calc-Units'!$D$21)</f>
        <v> </v>
      </c>
      <c r="AG31" s="101" t="str">
        <f>IF(ISERROR(AA31*100000000/'Calc-Units'!$C$21)," ",AA31*100000000/'Calc-Units'!$C$21)</f>
        <v> </v>
      </c>
      <c r="AH31" s="291" t="str">
        <f>IF(ISERROR(AB31*100000000/'Calc-Units'!$C$21)," ",AB31*100000000/'Calc-Units'!$C$21)</f>
        <v> </v>
      </c>
      <c r="AI31" s="102"/>
      <c r="AJ31" s="112">
        <v>0</v>
      </c>
      <c r="AK31" s="96">
        <f t="shared" si="9"/>
        <v>0</v>
      </c>
      <c r="AL31" s="97">
        <f t="shared" si="10"/>
        <v>0.3</v>
      </c>
      <c r="AM31" s="96"/>
      <c r="AN31" s="96"/>
      <c r="AO31" s="99" t="str">
        <f t="shared" si="11"/>
        <v> </v>
      </c>
      <c r="AP31" s="99" t="str">
        <f t="shared" si="12"/>
        <v> </v>
      </c>
      <c r="AQ31" s="99" t="str">
        <f t="shared" si="13"/>
        <v> </v>
      </c>
      <c r="AR31" s="171" t="str">
        <f t="shared" si="14"/>
        <v> </v>
      </c>
      <c r="AS31" s="100"/>
      <c r="AT31" s="102"/>
      <c r="AU31" s="101" t="str">
        <f>IF(ISERROR(AO31*100000000/'Calc-Units'!$E$21)," ",AO31*100000000/'Calc-Units'!$E$21)</f>
        <v> </v>
      </c>
      <c r="AV31" s="101" t="str">
        <f>IF(ISERROR(AP31*100000000/'Calc-Units'!$D$21)," ",AP31*100000000/'Calc-Units'!$D$21)</f>
        <v> </v>
      </c>
      <c r="AW31" s="101" t="str">
        <f>IF(ISERROR(AQ31*100000000/'Calc-Units'!$C$21)," ",AQ31*100000000/'Calc-Units'!$C$21)</f>
        <v> </v>
      </c>
      <c r="AX31" s="291" t="str">
        <f>IF(ISERROR(AR31*100000000/'Calc-Units'!$C$21)," ",AR31*100000000/'Calc-Units'!$C$21)</f>
        <v> </v>
      </c>
      <c r="AZ31" s="94"/>
      <c r="BA31" s="94"/>
    </row>
    <row r="32" spans="1:53" s="93" customFormat="1" ht="12.75">
      <c r="A32" s="111"/>
      <c r="B32" s="135"/>
      <c r="C32" s="111" t="s">
        <v>629</v>
      </c>
      <c r="D32" s="153">
        <f>'RRP 1.3'!AD$12</f>
        <v>0.1</v>
      </c>
      <c r="E32" s="153">
        <v>0</v>
      </c>
      <c r="F32" s="153">
        <v>0</v>
      </c>
      <c r="G32" s="153">
        <v>0</v>
      </c>
      <c r="H32" s="153">
        <v>0</v>
      </c>
      <c r="I32" s="153">
        <f t="shared" si="0"/>
        <v>0.1</v>
      </c>
      <c r="J32" s="144"/>
      <c r="K32" s="96"/>
      <c r="L32" s="153" t="s">
        <v>111</v>
      </c>
      <c r="M32" s="164" t="str">
        <f>IF(ISERROR(VLOOKUP($L32,'Calc-Drivers'!$B$17:$F$27,M$42,FALSE))," ",VLOOKUP($L32,'Calc-Drivers'!$B$17:$F$27,M$42,FALSE))</f>
        <v> </v>
      </c>
      <c r="N32" s="164" t="str">
        <f>IF(ISERROR(VLOOKUP($L32,'Calc-Drivers'!$B$17:$F$27,N$42,FALSE))," ",VLOOKUP($L32,'Calc-Drivers'!$B$17:$F$27,N$42,FALSE))</f>
        <v> </v>
      </c>
      <c r="O32" s="164" t="str">
        <f>IF(ISERROR(VLOOKUP($L32,'Calc-Drivers'!$B$17:$F$27,O$42,FALSE))," ",VLOOKUP($L32,'Calc-Drivers'!$B$17:$F$27,O$42,FALSE))</f>
        <v> </v>
      </c>
      <c r="P32" s="164" t="str">
        <f>IF(ISERROR(VLOOKUP($L32,'Calc-Drivers'!$B$17:$F$27,P$42,FALSE))," ",VLOOKUP($L32,'Calc-Drivers'!$B$17:$F$27,P$42,FALSE))</f>
        <v> </v>
      </c>
      <c r="Q32" s="178"/>
      <c r="R32" s="98"/>
      <c r="S32" s="99" t="str">
        <f t="shared" si="1"/>
        <v> </v>
      </c>
      <c r="T32" s="99" t="str">
        <f t="shared" si="2"/>
        <v> </v>
      </c>
      <c r="U32" s="99" t="str">
        <f t="shared" si="3"/>
        <v> </v>
      </c>
      <c r="V32" s="171" t="str">
        <f t="shared" si="4"/>
        <v> </v>
      </c>
      <c r="W32" s="100"/>
      <c r="X32" s="94"/>
      <c r="Y32" s="99" t="str">
        <f t="shared" si="5"/>
        <v> </v>
      </c>
      <c r="Z32" s="99" t="str">
        <f t="shared" si="6"/>
        <v> </v>
      </c>
      <c r="AA32" s="99" t="str">
        <f t="shared" si="7"/>
        <v> </v>
      </c>
      <c r="AB32" s="171" t="str">
        <f t="shared" si="8"/>
        <v> </v>
      </c>
      <c r="AC32" s="100"/>
      <c r="AD32" s="100"/>
      <c r="AE32" s="101" t="str">
        <f>IF(ISERROR(Y32*100000000/'Calc-Units'!$E$21)," ",Y32*100000000/'Calc-Units'!$E$21)</f>
        <v> </v>
      </c>
      <c r="AF32" s="101" t="str">
        <f>IF(ISERROR(Z32*100000000/'Calc-Units'!$D$21)," ",Z32*100000000/'Calc-Units'!$D$21)</f>
        <v> </v>
      </c>
      <c r="AG32" s="101" t="str">
        <f>IF(ISERROR(AA32*100000000/'Calc-Units'!$C$21)," ",AA32*100000000/'Calc-Units'!$C$21)</f>
        <v> </v>
      </c>
      <c r="AH32" s="291" t="str">
        <f>IF(ISERROR(AB32*100000000/'Calc-Units'!$C$21)," ",AB32*100000000/'Calc-Units'!$C$21)</f>
        <v> </v>
      </c>
      <c r="AI32" s="102"/>
      <c r="AJ32" s="112">
        <v>0</v>
      </c>
      <c r="AK32" s="96">
        <f t="shared" si="9"/>
        <v>0</v>
      </c>
      <c r="AL32" s="97">
        <f t="shared" si="10"/>
        <v>0.1</v>
      </c>
      <c r="AM32" s="96"/>
      <c r="AN32" s="96"/>
      <c r="AO32" s="99" t="str">
        <f t="shared" si="11"/>
        <v> </v>
      </c>
      <c r="AP32" s="99" t="str">
        <f t="shared" si="12"/>
        <v> </v>
      </c>
      <c r="AQ32" s="99" t="str">
        <f t="shared" si="13"/>
        <v> </v>
      </c>
      <c r="AR32" s="171" t="str">
        <f t="shared" si="14"/>
        <v> </v>
      </c>
      <c r="AS32" s="100"/>
      <c r="AT32" s="102"/>
      <c r="AU32" s="101" t="str">
        <f>IF(ISERROR(AO32*100000000/'Calc-Units'!$E$21)," ",AO32*100000000/'Calc-Units'!$E$21)</f>
        <v> </v>
      </c>
      <c r="AV32" s="101" t="str">
        <f>IF(ISERROR(AP32*100000000/'Calc-Units'!$D$21)," ",AP32*100000000/'Calc-Units'!$D$21)</f>
        <v> </v>
      </c>
      <c r="AW32" s="101" t="str">
        <f>IF(ISERROR(AQ32*100000000/'Calc-Units'!$C$21)," ",AQ32*100000000/'Calc-Units'!$C$21)</f>
        <v> </v>
      </c>
      <c r="AX32" s="291" t="str">
        <f>IF(ISERROR(AR32*100000000/'Calc-Units'!$C$21)," ",AR32*100000000/'Calc-Units'!$C$21)</f>
        <v> </v>
      </c>
      <c r="AZ32" s="94"/>
      <c r="BA32" s="94"/>
    </row>
    <row r="33" spans="1:53" s="93" customFormat="1" ht="12.75">
      <c r="A33" s="111"/>
      <c r="B33" s="135"/>
      <c r="C33" s="111" t="s">
        <v>490</v>
      </c>
      <c r="D33" s="153">
        <f>'RRP 1.3'!AE$12</f>
        <v>1.1</v>
      </c>
      <c r="E33" s="153">
        <v>0</v>
      </c>
      <c r="F33" s="153">
        <v>0</v>
      </c>
      <c r="G33" s="153">
        <v>0</v>
      </c>
      <c r="H33" s="153">
        <v>0</v>
      </c>
      <c r="I33" s="153">
        <f t="shared" si="0"/>
        <v>1.1</v>
      </c>
      <c r="J33" s="144"/>
      <c r="K33" s="96"/>
      <c r="L33" s="153" t="s">
        <v>111</v>
      </c>
      <c r="M33" s="164" t="str">
        <f>IF(ISERROR(VLOOKUP($L33,'Calc-Drivers'!$B$17:$F$27,M$42,FALSE))," ",VLOOKUP($L33,'Calc-Drivers'!$B$17:$F$27,M$42,FALSE))</f>
        <v> </v>
      </c>
      <c r="N33" s="164" t="str">
        <f>IF(ISERROR(VLOOKUP($L33,'Calc-Drivers'!$B$17:$F$27,N$42,FALSE))," ",VLOOKUP($L33,'Calc-Drivers'!$B$17:$F$27,N$42,FALSE))</f>
        <v> </v>
      </c>
      <c r="O33" s="164" t="str">
        <f>IF(ISERROR(VLOOKUP($L33,'Calc-Drivers'!$B$17:$F$27,O$42,FALSE))," ",VLOOKUP($L33,'Calc-Drivers'!$B$17:$F$27,O$42,FALSE))</f>
        <v> </v>
      </c>
      <c r="P33" s="164" t="str">
        <f>IF(ISERROR(VLOOKUP($L33,'Calc-Drivers'!$B$17:$F$27,P$42,FALSE))," ",VLOOKUP($L33,'Calc-Drivers'!$B$17:$F$27,P$42,FALSE))</f>
        <v> </v>
      </c>
      <c r="Q33" s="178"/>
      <c r="R33" s="98"/>
      <c r="S33" s="99" t="str">
        <f t="shared" si="1"/>
        <v> </v>
      </c>
      <c r="T33" s="99" t="str">
        <f t="shared" si="2"/>
        <v> </v>
      </c>
      <c r="U33" s="99" t="str">
        <f t="shared" si="3"/>
        <v> </v>
      </c>
      <c r="V33" s="171" t="str">
        <f t="shared" si="4"/>
        <v> </v>
      </c>
      <c r="W33" s="100"/>
      <c r="X33" s="94"/>
      <c r="Y33" s="99" t="str">
        <f t="shared" si="5"/>
        <v> </v>
      </c>
      <c r="Z33" s="99" t="str">
        <f t="shared" si="6"/>
        <v> </v>
      </c>
      <c r="AA33" s="99" t="str">
        <f t="shared" si="7"/>
        <v> </v>
      </c>
      <c r="AB33" s="171" t="str">
        <f t="shared" si="8"/>
        <v> </v>
      </c>
      <c r="AC33" s="100"/>
      <c r="AD33" s="100"/>
      <c r="AE33" s="101" t="str">
        <f>IF(ISERROR(Y33*100000000/'Calc-Units'!$E$21)," ",Y33*100000000/'Calc-Units'!$E$21)</f>
        <v> </v>
      </c>
      <c r="AF33" s="101" t="str">
        <f>IF(ISERROR(Z33*100000000/'Calc-Units'!$D$21)," ",Z33*100000000/'Calc-Units'!$D$21)</f>
        <v> </v>
      </c>
      <c r="AG33" s="101" t="str">
        <f>IF(ISERROR(AA33*100000000/'Calc-Units'!$C$21)," ",AA33*100000000/'Calc-Units'!$C$21)</f>
        <v> </v>
      </c>
      <c r="AH33" s="291" t="str">
        <f>IF(ISERROR(AB33*100000000/'Calc-Units'!$C$21)," ",AB33*100000000/'Calc-Units'!$C$21)</f>
        <v> </v>
      </c>
      <c r="AI33" s="102"/>
      <c r="AJ33" s="112">
        <v>0</v>
      </c>
      <c r="AK33" s="96">
        <f t="shared" si="9"/>
        <v>0</v>
      </c>
      <c r="AL33" s="97">
        <f t="shared" si="10"/>
        <v>1.1</v>
      </c>
      <c r="AM33" s="96"/>
      <c r="AN33" s="96"/>
      <c r="AO33" s="99" t="str">
        <f t="shared" si="11"/>
        <v> </v>
      </c>
      <c r="AP33" s="99" t="str">
        <f t="shared" si="12"/>
        <v> </v>
      </c>
      <c r="AQ33" s="99" t="str">
        <f t="shared" si="13"/>
        <v> </v>
      </c>
      <c r="AR33" s="171" t="str">
        <f t="shared" si="14"/>
        <v> </v>
      </c>
      <c r="AS33" s="100"/>
      <c r="AT33" s="102"/>
      <c r="AU33" s="101" t="str">
        <f>IF(ISERROR(AO33*100000000/'Calc-Units'!$E$21)," ",AO33*100000000/'Calc-Units'!$E$21)</f>
        <v> </v>
      </c>
      <c r="AV33" s="101" t="str">
        <f>IF(ISERROR(AP33*100000000/'Calc-Units'!$D$21)," ",AP33*100000000/'Calc-Units'!$D$21)</f>
        <v> </v>
      </c>
      <c r="AW33" s="101" t="str">
        <f>IF(ISERROR(AQ33*100000000/'Calc-Units'!$C$21)," ",AQ33*100000000/'Calc-Units'!$C$21)</f>
        <v> </v>
      </c>
      <c r="AX33" s="291" t="str">
        <f>IF(ISERROR(AR33*100000000/'Calc-Units'!$C$21)," ",AR33*100000000/'Calc-Units'!$C$21)</f>
        <v> </v>
      </c>
      <c r="AZ33" s="94"/>
      <c r="BA33" s="94"/>
    </row>
    <row r="34" spans="1:53" s="93" customFormat="1" ht="12.75">
      <c r="A34" s="111"/>
      <c r="B34" s="135"/>
      <c r="C34" s="111" t="s">
        <v>491</v>
      </c>
      <c r="D34" s="153">
        <f>'RRP 1.3'!AF$12</f>
        <v>34</v>
      </c>
      <c r="E34" s="153">
        <v>0</v>
      </c>
      <c r="F34" s="153">
        <v>0</v>
      </c>
      <c r="G34" s="153">
        <v>0</v>
      </c>
      <c r="H34" s="153">
        <v>0</v>
      </c>
      <c r="I34" s="153">
        <f t="shared" si="0"/>
        <v>34</v>
      </c>
      <c r="J34" s="144"/>
      <c r="K34" s="96"/>
      <c r="L34" s="153" t="s">
        <v>111</v>
      </c>
      <c r="M34" s="164" t="str">
        <f>IF(ISERROR(VLOOKUP($L34,'Calc-Drivers'!$B$17:$F$27,M$42,FALSE))," ",VLOOKUP($L34,'Calc-Drivers'!$B$17:$F$27,M$42,FALSE))</f>
        <v> </v>
      </c>
      <c r="N34" s="164" t="str">
        <f>IF(ISERROR(VLOOKUP($L34,'Calc-Drivers'!$B$17:$F$27,N$42,FALSE))," ",VLOOKUP($L34,'Calc-Drivers'!$B$17:$F$27,N$42,FALSE))</f>
        <v> </v>
      </c>
      <c r="O34" s="164" t="str">
        <f>IF(ISERROR(VLOOKUP($L34,'Calc-Drivers'!$B$17:$F$27,O$42,FALSE))," ",VLOOKUP($L34,'Calc-Drivers'!$B$17:$F$27,O$42,FALSE))</f>
        <v> </v>
      </c>
      <c r="P34" s="164" t="str">
        <f>IF(ISERROR(VLOOKUP($L34,'Calc-Drivers'!$B$17:$F$27,P$42,FALSE))," ",VLOOKUP($L34,'Calc-Drivers'!$B$17:$F$27,P$42,FALSE))</f>
        <v> </v>
      </c>
      <c r="Q34" s="178"/>
      <c r="R34" s="98"/>
      <c r="S34" s="99" t="str">
        <f t="shared" si="1"/>
        <v> </v>
      </c>
      <c r="T34" s="99" t="str">
        <f t="shared" si="2"/>
        <v> </v>
      </c>
      <c r="U34" s="99" t="str">
        <f t="shared" si="3"/>
        <v> </v>
      </c>
      <c r="V34" s="171" t="str">
        <f t="shared" si="4"/>
        <v> </v>
      </c>
      <c r="W34" s="100"/>
      <c r="X34" s="94"/>
      <c r="Y34" s="99" t="str">
        <f t="shared" si="5"/>
        <v> </v>
      </c>
      <c r="Z34" s="99" t="str">
        <f t="shared" si="6"/>
        <v> </v>
      </c>
      <c r="AA34" s="99" t="str">
        <f t="shared" si="7"/>
        <v> </v>
      </c>
      <c r="AB34" s="171" t="str">
        <f t="shared" si="8"/>
        <v> </v>
      </c>
      <c r="AC34" s="100"/>
      <c r="AD34" s="100"/>
      <c r="AE34" s="101" t="str">
        <f>IF(ISERROR(Y34*100000000/'Calc-Units'!$E$21)," ",Y34*100000000/'Calc-Units'!$E$21)</f>
        <v> </v>
      </c>
      <c r="AF34" s="101" t="str">
        <f>IF(ISERROR(Z34*100000000/'Calc-Units'!$D$21)," ",Z34*100000000/'Calc-Units'!$D$21)</f>
        <v> </v>
      </c>
      <c r="AG34" s="101" t="str">
        <f>IF(ISERROR(AA34*100000000/'Calc-Units'!$C$21)," ",AA34*100000000/'Calc-Units'!$C$21)</f>
        <v> </v>
      </c>
      <c r="AH34" s="291" t="str">
        <f>IF(ISERROR(AB34*100000000/'Calc-Units'!$C$21)," ",AB34*100000000/'Calc-Units'!$C$21)</f>
        <v> </v>
      </c>
      <c r="AI34" s="102"/>
      <c r="AJ34" s="112">
        <v>0</v>
      </c>
      <c r="AK34" s="96">
        <f t="shared" si="9"/>
        <v>0</v>
      </c>
      <c r="AL34" s="97">
        <f t="shared" si="10"/>
        <v>34</v>
      </c>
      <c r="AM34" s="96"/>
      <c r="AN34" s="96"/>
      <c r="AO34" s="99" t="str">
        <f t="shared" si="11"/>
        <v> </v>
      </c>
      <c r="AP34" s="99" t="str">
        <f t="shared" si="12"/>
        <v> </v>
      </c>
      <c r="AQ34" s="99" t="str">
        <f t="shared" si="13"/>
        <v> </v>
      </c>
      <c r="AR34" s="171" t="str">
        <f t="shared" si="14"/>
        <v> </v>
      </c>
      <c r="AS34" s="100"/>
      <c r="AT34" s="102"/>
      <c r="AU34" s="101" t="str">
        <f>IF(ISERROR(AO34*100000000/'Calc-Units'!$E$21)," ",AO34*100000000/'Calc-Units'!$E$21)</f>
        <v> </v>
      </c>
      <c r="AV34" s="101" t="str">
        <f>IF(ISERROR(AP34*100000000/'Calc-Units'!$D$21)," ",AP34*100000000/'Calc-Units'!$D$21)</f>
        <v> </v>
      </c>
      <c r="AW34" s="101" t="str">
        <f>IF(ISERROR(AQ34*100000000/'Calc-Units'!$C$21)," ",AQ34*100000000/'Calc-Units'!$C$21)</f>
        <v> </v>
      </c>
      <c r="AX34" s="291" t="str">
        <f>IF(ISERROR(AR34*100000000/'Calc-Units'!$C$21)," ",AR34*100000000/'Calc-Units'!$C$21)</f>
        <v> </v>
      </c>
      <c r="AZ34" s="94"/>
      <c r="BA34" s="94"/>
    </row>
    <row r="35" spans="1:53" s="93" customFormat="1" ht="12.75">
      <c r="A35" s="111"/>
      <c r="B35" s="135"/>
      <c r="C35" s="111" t="s">
        <v>492</v>
      </c>
      <c r="D35" s="153">
        <f>'RRP 1.3'!AG$12</f>
        <v>18.0171204</v>
      </c>
      <c r="E35" s="153">
        <v>0</v>
      </c>
      <c r="F35" s="153">
        <v>0</v>
      </c>
      <c r="G35" s="153">
        <v>0</v>
      </c>
      <c r="H35" s="153">
        <v>0</v>
      </c>
      <c r="I35" s="153">
        <f t="shared" si="0"/>
        <v>18.0171204</v>
      </c>
      <c r="J35" s="144"/>
      <c r="K35" s="96"/>
      <c r="L35" s="153" t="s">
        <v>111</v>
      </c>
      <c r="M35" s="164" t="str">
        <f>IF(ISERROR(VLOOKUP($L35,'Calc-Drivers'!$B$17:$F$27,M$42,FALSE))," ",VLOOKUP($L35,'Calc-Drivers'!$B$17:$F$27,M$42,FALSE))</f>
        <v> </v>
      </c>
      <c r="N35" s="164" t="str">
        <f>IF(ISERROR(VLOOKUP($L35,'Calc-Drivers'!$B$17:$F$27,N$42,FALSE))," ",VLOOKUP($L35,'Calc-Drivers'!$B$17:$F$27,N$42,FALSE))</f>
        <v> </v>
      </c>
      <c r="O35" s="164" t="str">
        <f>IF(ISERROR(VLOOKUP($L35,'Calc-Drivers'!$B$17:$F$27,O$42,FALSE))," ",VLOOKUP($L35,'Calc-Drivers'!$B$17:$F$27,O$42,FALSE))</f>
        <v> </v>
      </c>
      <c r="P35" s="164" t="str">
        <f>IF(ISERROR(VLOOKUP($L35,'Calc-Drivers'!$B$17:$F$27,P$42,FALSE))," ",VLOOKUP($L35,'Calc-Drivers'!$B$17:$F$27,P$42,FALSE))</f>
        <v> </v>
      </c>
      <c r="Q35" s="178"/>
      <c r="R35" s="98"/>
      <c r="S35" s="99" t="str">
        <f t="shared" si="1"/>
        <v> </v>
      </c>
      <c r="T35" s="99" t="str">
        <f t="shared" si="2"/>
        <v> </v>
      </c>
      <c r="U35" s="99" t="str">
        <f t="shared" si="3"/>
        <v> </v>
      </c>
      <c r="V35" s="171" t="str">
        <f t="shared" si="4"/>
        <v> </v>
      </c>
      <c r="W35" s="100"/>
      <c r="X35" s="94"/>
      <c r="Y35" s="99" t="str">
        <f t="shared" si="5"/>
        <v> </v>
      </c>
      <c r="Z35" s="99" t="str">
        <f t="shared" si="6"/>
        <v> </v>
      </c>
      <c r="AA35" s="99" t="str">
        <f t="shared" si="7"/>
        <v> </v>
      </c>
      <c r="AB35" s="171" t="str">
        <f t="shared" si="8"/>
        <v> </v>
      </c>
      <c r="AC35" s="100"/>
      <c r="AD35" s="100"/>
      <c r="AE35" s="101" t="str">
        <f>IF(ISERROR(Y35*100000000/'Calc-Units'!$E$21)," ",Y35*100000000/'Calc-Units'!$E$21)</f>
        <v> </v>
      </c>
      <c r="AF35" s="101" t="str">
        <f>IF(ISERROR(Z35*100000000/'Calc-Units'!$D$21)," ",Z35*100000000/'Calc-Units'!$D$21)</f>
        <v> </v>
      </c>
      <c r="AG35" s="101" t="str">
        <f>IF(ISERROR(AA35*100000000/'Calc-Units'!$C$21)," ",AA35*100000000/'Calc-Units'!$C$21)</f>
        <v> </v>
      </c>
      <c r="AH35" s="291" t="str">
        <f>IF(ISERROR(AB35*100000000/'Calc-Units'!$C$21)," ",AB35*100000000/'Calc-Units'!$C$21)</f>
        <v> </v>
      </c>
      <c r="AI35" s="102"/>
      <c r="AJ35" s="112">
        <v>0</v>
      </c>
      <c r="AK35" s="96">
        <f t="shared" si="9"/>
        <v>0</v>
      </c>
      <c r="AL35" s="97">
        <f t="shared" si="10"/>
        <v>18.0171204</v>
      </c>
      <c r="AM35" s="96"/>
      <c r="AN35" s="96"/>
      <c r="AO35" s="99" t="str">
        <f t="shared" si="11"/>
        <v> </v>
      </c>
      <c r="AP35" s="99" t="str">
        <f t="shared" si="12"/>
        <v> </v>
      </c>
      <c r="AQ35" s="99" t="str">
        <f t="shared" si="13"/>
        <v> </v>
      </c>
      <c r="AR35" s="171" t="str">
        <f t="shared" si="14"/>
        <v> </v>
      </c>
      <c r="AS35" s="100"/>
      <c r="AT35" s="102"/>
      <c r="AU35" s="101" t="str">
        <f>IF(ISERROR(AO35*100000000/'Calc-Units'!$E$21)," ",AO35*100000000/'Calc-Units'!$E$21)</f>
        <v> </v>
      </c>
      <c r="AV35" s="101" t="str">
        <f>IF(ISERROR(AP35*100000000/'Calc-Units'!$D$21)," ",AP35*100000000/'Calc-Units'!$D$21)</f>
        <v> </v>
      </c>
      <c r="AW35" s="101" t="str">
        <f>IF(ISERROR(AQ35*100000000/'Calc-Units'!$C$21)," ",AQ35*100000000/'Calc-Units'!$C$21)</f>
        <v> </v>
      </c>
      <c r="AX35" s="291" t="str">
        <f>IF(ISERROR(AR35*100000000/'Calc-Units'!$C$21)," ",AR35*100000000/'Calc-Units'!$C$21)</f>
        <v> </v>
      </c>
      <c r="AZ35" s="94"/>
      <c r="BA35" s="94"/>
    </row>
    <row r="36" spans="1:53" s="93" customFormat="1" ht="12.75">
      <c r="A36" s="111"/>
      <c r="B36" s="135"/>
      <c r="C36" s="111" t="s">
        <v>364</v>
      </c>
      <c r="D36" s="153">
        <f>'RRP 1.3'!AH$12</f>
        <v>5.16757397</v>
      </c>
      <c r="E36" s="153">
        <v>0</v>
      </c>
      <c r="F36" s="153">
        <v>0</v>
      </c>
      <c r="G36" s="153">
        <v>0</v>
      </c>
      <c r="H36" s="153">
        <v>0</v>
      </c>
      <c r="I36" s="153">
        <f t="shared" si="0"/>
        <v>5.16757397</v>
      </c>
      <c r="J36" s="144"/>
      <c r="K36" s="96"/>
      <c r="L36" s="153" t="s">
        <v>111</v>
      </c>
      <c r="M36" s="164" t="str">
        <f>IF(ISERROR(VLOOKUP($L36,'Calc-Drivers'!$B$17:$F$27,M$42,FALSE))," ",VLOOKUP($L36,'Calc-Drivers'!$B$17:$F$27,M$42,FALSE))</f>
        <v> </v>
      </c>
      <c r="N36" s="164" t="str">
        <f>IF(ISERROR(VLOOKUP($L36,'Calc-Drivers'!$B$17:$F$27,N$42,FALSE))," ",VLOOKUP($L36,'Calc-Drivers'!$B$17:$F$27,N$42,FALSE))</f>
        <v> </v>
      </c>
      <c r="O36" s="164" t="str">
        <f>IF(ISERROR(VLOOKUP($L36,'Calc-Drivers'!$B$17:$F$27,O$42,FALSE))," ",VLOOKUP($L36,'Calc-Drivers'!$B$17:$F$27,O$42,FALSE))</f>
        <v> </v>
      </c>
      <c r="P36" s="164" t="str">
        <f>IF(ISERROR(VLOOKUP($L36,'Calc-Drivers'!$B$17:$F$27,P$42,FALSE))," ",VLOOKUP($L36,'Calc-Drivers'!$B$17:$F$27,P$42,FALSE))</f>
        <v> </v>
      </c>
      <c r="Q36" s="178"/>
      <c r="R36" s="98"/>
      <c r="S36" s="99" t="str">
        <f t="shared" si="1"/>
        <v> </v>
      </c>
      <c r="T36" s="99" t="str">
        <f t="shared" si="2"/>
        <v> </v>
      </c>
      <c r="U36" s="99" t="str">
        <f t="shared" si="3"/>
        <v> </v>
      </c>
      <c r="V36" s="171" t="str">
        <f t="shared" si="4"/>
        <v> </v>
      </c>
      <c r="W36" s="100"/>
      <c r="X36" s="94"/>
      <c r="Y36" s="99" t="str">
        <f t="shared" si="5"/>
        <v> </v>
      </c>
      <c r="Z36" s="99" t="str">
        <f t="shared" si="6"/>
        <v> </v>
      </c>
      <c r="AA36" s="99" t="str">
        <f t="shared" si="7"/>
        <v> </v>
      </c>
      <c r="AB36" s="171" t="str">
        <f t="shared" si="8"/>
        <v> </v>
      </c>
      <c r="AC36" s="100"/>
      <c r="AD36" s="100"/>
      <c r="AE36" s="101" t="str">
        <f>IF(ISERROR(Y36*100000000/'Calc-Units'!$E$21)," ",Y36*100000000/'Calc-Units'!$E$21)</f>
        <v> </v>
      </c>
      <c r="AF36" s="101" t="str">
        <f>IF(ISERROR(Z36*100000000/'Calc-Units'!$D$21)," ",Z36*100000000/'Calc-Units'!$D$21)</f>
        <v> </v>
      </c>
      <c r="AG36" s="101" t="str">
        <f>IF(ISERROR(AA36*100000000/'Calc-Units'!$C$21)," ",AA36*100000000/'Calc-Units'!$C$21)</f>
        <v> </v>
      </c>
      <c r="AH36" s="291" t="str">
        <f>IF(ISERROR(AB36*100000000/'Calc-Units'!$C$21)," ",AB36*100000000/'Calc-Units'!$C$21)</f>
        <v> </v>
      </c>
      <c r="AI36" s="102"/>
      <c r="AJ36" s="112">
        <v>0</v>
      </c>
      <c r="AK36" s="96">
        <f t="shared" si="9"/>
        <v>0</v>
      </c>
      <c r="AL36" s="97">
        <f t="shared" si="10"/>
        <v>5.16757397</v>
      </c>
      <c r="AM36" s="96"/>
      <c r="AN36" s="96"/>
      <c r="AO36" s="99" t="str">
        <f t="shared" si="11"/>
        <v> </v>
      </c>
      <c r="AP36" s="99" t="str">
        <f t="shared" si="12"/>
        <v> </v>
      </c>
      <c r="AQ36" s="99" t="str">
        <f t="shared" si="13"/>
        <v> </v>
      </c>
      <c r="AR36" s="171" t="str">
        <f t="shared" si="14"/>
        <v> </v>
      </c>
      <c r="AS36" s="100"/>
      <c r="AT36" s="102"/>
      <c r="AU36" s="101" t="str">
        <f>IF(ISERROR(AO36*100000000/'Calc-Units'!$E$21)," ",AO36*100000000/'Calc-Units'!$E$21)</f>
        <v> </v>
      </c>
      <c r="AV36" s="101" t="str">
        <f>IF(ISERROR(AP36*100000000/'Calc-Units'!$D$21)," ",AP36*100000000/'Calc-Units'!$D$21)</f>
        <v> </v>
      </c>
      <c r="AW36" s="101" t="str">
        <f>IF(ISERROR(AQ36*100000000/'Calc-Units'!$C$21)," ",AQ36*100000000/'Calc-Units'!$C$21)</f>
        <v> </v>
      </c>
      <c r="AX36" s="291" t="str">
        <f>IF(ISERROR(AR36*100000000/'Calc-Units'!$C$21)," ",AR36*100000000/'Calc-Units'!$C$21)</f>
        <v> </v>
      </c>
      <c r="AZ36" s="94"/>
      <c r="BA36" s="94"/>
    </row>
    <row r="37" spans="1:53" s="93" customFormat="1" ht="12.75">
      <c r="A37" s="111"/>
      <c r="B37" s="135"/>
      <c r="C37" s="111" t="s">
        <v>366</v>
      </c>
      <c r="D37" s="153">
        <f>'RRP 1.3'!AI$12</f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f t="shared" si="0"/>
        <v>0</v>
      </c>
      <c r="J37" s="144"/>
      <c r="K37" s="96"/>
      <c r="L37" s="153" t="s">
        <v>111</v>
      </c>
      <c r="M37" s="164" t="str">
        <f>IF(ISERROR(VLOOKUP($L37,'Calc-Drivers'!$B$17:$F$27,M$42,FALSE))," ",VLOOKUP($L37,'Calc-Drivers'!$B$17:$F$27,M$42,FALSE))</f>
        <v> </v>
      </c>
      <c r="N37" s="164" t="str">
        <f>IF(ISERROR(VLOOKUP($L37,'Calc-Drivers'!$B$17:$F$27,N$42,FALSE))," ",VLOOKUP($L37,'Calc-Drivers'!$B$17:$F$27,N$42,FALSE))</f>
        <v> </v>
      </c>
      <c r="O37" s="164" t="str">
        <f>IF(ISERROR(VLOOKUP($L37,'Calc-Drivers'!$B$17:$F$27,O$42,FALSE))," ",VLOOKUP($L37,'Calc-Drivers'!$B$17:$F$27,O$42,FALSE))</f>
        <v> </v>
      </c>
      <c r="P37" s="164" t="str">
        <f>IF(ISERROR(VLOOKUP($L37,'Calc-Drivers'!$B$17:$F$27,P$42,FALSE))," ",VLOOKUP($L37,'Calc-Drivers'!$B$17:$F$27,P$42,FALSE))</f>
        <v> </v>
      </c>
      <c r="Q37" s="178"/>
      <c r="R37" s="98"/>
      <c r="S37" s="99" t="str">
        <f t="shared" si="1"/>
        <v> </v>
      </c>
      <c r="T37" s="99" t="str">
        <f t="shared" si="2"/>
        <v> </v>
      </c>
      <c r="U37" s="99" t="str">
        <f t="shared" si="3"/>
        <v> </v>
      </c>
      <c r="V37" s="171" t="str">
        <f t="shared" si="4"/>
        <v> </v>
      </c>
      <c r="W37" s="100"/>
      <c r="X37" s="94"/>
      <c r="Y37" s="99" t="str">
        <f t="shared" si="5"/>
        <v> </v>
      </c>
      <c r="Z37" s="99" t="str">
        <f t="shared" si="6"/>
        <v> </v>
      </c>
      <c r="AA37" s="99" t="str">
        <f t="shared" si="7"/>
        <v> </v>
      </c>
      <c r="AB37" s="171" t="str">
        <f t="shared" si="8"/>
        <v> </v>
      </c>
      <c r="AC37" s="100"/>
      <c r="AD37" s="100"/>
      <c r="AE37" s="101" t="str">
        <f>IF(ISERROR(Y37*100000000/'Calc-Units'!$E$21)," ",Y37*100000000/'Calc-Units'!$E$21)</f>
        <v> </v>
      </c>
      <c r="AF37" s="101" t="str">
        <f>IF(ISERROR(Z37*100000000/'Calc-Units'!$D$21)," ",Z37*100000000/'Calc-Units'!$D$21)</f>
        <v> </v>
      </c>
      <c r="AG37" s="101" t="str">
        <f>IF(ISERROR(AA37*100000000/'Calc-Units'!$C$21)," ",AA37*100000000/'Calc-Units'!$C$21)</f>
        <v> </v>
      </c>
      <c r="AH37" s="291" t="str">
        <f>IF(ISERROR(AB37*100000000/'Calc-Units'!$C$21)," ",AB37*100000000/'Calc-Units'!$C$21)</f>
        <v> </v>
      </c>
      <c r="AI37" s="102"/>
      <c r="AJ37" s="112">
        <v>0</v>
      </c>
      <c r="AK37" s="96">
        <f t="shared" si="9"/>
        <v>0</v>
      </c>
      <c r="AL37" s="97">
        <f t="shared" si="10"/>
        <v>0</v>
      </c>
      <c r="AM37" s="96"/>
      <c r="AN37" s="96"/>
      <c r="AO37" s="99" t="str">
        <f t="shared" si="11"/>
        <v> </v>
      </c>
      <c r="AP37" s="99" t="str">
        <f t="shared" si="12"/>
        <v> </v>
      </c>
      <c r="AQ37" s="99" t="str">
        <f t="shared" si="13"/>
        <v> </v>
      </c>
      <c r="AR37" s="171" t="str">
        <f t="shared" si="14"/>
        <v> </v>
      </c>
      <c r="AS37" s="100"/>
      <c r="AT37" s="102"/>
      <c r="AU37" s="101" t="str">
        <f>IF(ISERROR(AO37*100000000/'Calc-Units'!$E$21)," ",AO37*100000000/'Calc-Units'!$E$21)</f>
        <v> </v>
      </c>
      <c r="AV37" s="101" t="str">
        <f>IF(ISERROR(AP37*100000000/'Calc-Units'!$D$21)," ",AP37*100000000/'Calc-Units'!$D$21)</f>
        <v> </v>
      </c>
      <c r="AW37" s="101" t="str">
        <f>IF(ISERROR(AQ37*100000000/'Calc-Units'!$C$21)," ",AQ37*100000000/'Calc-Units'!$C$21)</f>
        <v> </v>
      </c>
      <c r="AX37" s="291" t="str">
        <f>IF(ISERROR(AR37*100000000/'Calc-Units'!$C$21)," ",AR37*100000000/'Calc-Units'!$C$21)</f>
        <v> </v>
      </c>
      <c r="AZ37" s="94"/>
      <c r="BA37" s="94"/>
    </row>
    <row r="38" spans="1:53" s="93" customFormat="1" ht="12.75">
      <c r="A38" s="111"/>
      <c r="B38" s="135"/>
      <c r="C38" s="114" t="s">
        <v>367</v>
      </c>
      <c r="D38" s="154">
        <f>'RRP 1.3'!AJ$12</f>
        <v>-11.484694370000085</v>
      </c>
      <c r="E38" s="154">
        <v>0</v>
      </c>
      <c r="F38" s="154">
        <v>0</v>
      </c>
      <c r="G38" s="154">
        <v>0</v>
      </c>
      <c r="H38" s="154">
        <v>0</v>
      </c>
      <c r="I38" s="154">
        <f t="shared" si="0"/>
        <v>-11.484694370000085</v>
      </c>
      <c r="J38" s="144"/>
      <c r="K38" s="96"/>
      <c r="L38" s="154" t="s">
        <v>111</v>
      </c>
      <c r="M38" s="287" t="str">
        <f>IF(ISERROR(VLOOKUP($L38,'Calc-Drivers'!$B$17:$F$27,M$42,FALSE))," ",VLOOKUP($L38,'Calc-Drivers'!$B$17:$F$27,M$42,FALSE))</f>
        <v> </v>
      </c>
      <c r="N38" s="287" t="str">
        <f>IF(ISERROR(VLOOKUP($L38,'Calc-Drivers'!$B$17:$F$27,N$42,FALSE))," ",VLOOKUP($L38,'Calc-Drivers'!$B$17:$F$27,N$42,FALSE))</f>
        <v> </v>
      </c>
      <c r="O38" s="287" t="str">
        <f>IF(ISERROR(VLOOKUP($L38,'Calc-Drivers'!$B$17:$F$27,O$42,FALSE))," ",VLOOKUP($L38,'Calc-Drivers'!$B$17:$F$27,O$42,FALSE))</f>
        <v> </v>
      </c>
      <c r="P38" s="287" t="str">
        <f>IF(ISERROR(VLOOKUP($L38,'Calc-Drivers'!$B$17:$F$27,P$42,FALSE))," ",VLOOKUP($L38,'Calc-Drivers'!$B$17:$F$27,P$42,FALSE))</f>
        <v> </v>
      </c>
      <c r="Q38" s="178"/>
      <c r="R38" s="98"/>
      <c r="S38" s="175" t="str">
        <f t="shared" si="1"/>
        <v> </v>
      </c>
      <c r="T38" s="175" t="str">
        <f t="shared" si="2"/>
        <v> </v>
      </c>
      <c r="U38" s="175" t="str">
        <f t="shared" si="3"/>
        <v> </v>
      </c>
      <c r="V38" s="172" t="str">
        <f t="shared" si="4"/>
        <v> </v>
      </c>
      <c r="W38" s="100"/>
      <c r="X38" s="94"/>
      <c r="Y38" s="175" t="str">
        <f t="shared" si="5"/>
        <v> </v>
      </c>
      <c r="Z38" s="175" t="str">
        <f t="shared" si="6"/>
        <v> </v>
      </c>
      <c r="AA38" s="175" t="str">
        <f t="shared" si="7"/>
        <v> </v>
      </c>
      <c r="AB38" s="172" t="str">
        <f t="shared" si="8"/>
        <v> </v>
      </c>
      <c r="AC38" s="100"/>
      <c r="AD38" s="100"/>
      <c r="AE38" s="292" t="str">
        <f>IF(ISERROR(Y38*100000000/'Calc-Units'!$E$21)," ",Y38*100000000/'Calc-Units'!$E$21)</f>
        <v> </v>
      </c>
      <c r="AF38" s="292" t="str">
        <f>IF(ISERROR(Z38*100000000/'Calc-Units'!$D$21)," ",Z38*100000000/'Calc-Units'!$D$21)</f>
        <v> </v>
      </c>
      <c r="AG38" s="292" t="str">
        <f>IF(ISERROR(AA38*100000000/'Calc-Units'!$C$21)," ",AA38*100000000/'Calc-Units'!$C$21)</f>
        <v> </v>
      </c>
      <c r="AH38" s="293" t="str">
        <f>IF(ISERROR(AB38*100000000/'Calc-Units'!$C$21)," ",AB38*100000000/'Calc-Units'!$C$21)</f>
        <v> </v>
      </c>
      <c r="AI38" s="102"/>
      <c r="AJ38" s="112">
        <v>0</v>
      </c>
      <c r="AK38" s="96">
        <f t="shared" si="9"/>
        <v>0</v>
      </c>
      <c r="AL38" s="97">
        <f t="shared" si="10"/>
        <v>-11.484694370000085</v>
      </c>
      <c r="AM38" s="96"/>
      <c r="AN38" s="96"/>
      <c r="AO38" s="175" t="str">
        <f t="shared" si="11"/>
        <v> </v>
      </c>
      <c r="AP38" s="175" t="str">
        <f t="shared" si="12"/>
        <v> </v>
      </c>
      <c r="AQ38" s="175" t="str">
        <f t="shared" si="13"/>
        <v> </v>
      </c>
      <c r="AR38" s="172" t="str">
        <f t="shared" si="14"/>
        <v> </v>
      </c>
      <c r="AS38" s="100"/>
      <c r="AT38" s="102"/>
      <c r="AU38" s="292" t="str">
        <f>IF(ISERROR(AO38*100000000/'Calc-Units'!$E$21)," ",AO38*100000000/'Calc-Units'!$E$21)</f>
        <v> </v>
      </c>
      <c r="AV38" s="292" t="str">
        <f>IF(ISERROR(AP38*100000000/'Calc-Units'!$D$21)," ",AP38*100000000/'Calc-Units'!$D$21)</f>
        <v> </v>
      </c>
      <c r="AW38" s="292" t="str">
        <f>IF(ISERROR(AQ38*100000000/'Calc-Units'!$C$21)," ",AQ38*100000000/'Calc-Units'!$C$21)</f>
        <v> </v>
      </c>
      <c r="AX38" s="293" t="str">
        <f>IF(ISERROR(AR38*100000000/'Calc-Units'!$C$21)," ",AR38*100000000/'Calc-Units'!$C$21)</f>
        <v> </v>
      </c>
      <c r="AZ38" s="94"/>
      <c r="BA38" s="94"/>
    </row>
    <row r="39" spans="1:53" s="93" customFormat="1" ht="25.5">
      <c r="A39" s="139"/>
      <c r="B39" s="329"/>
      <c r="C39" s="139" t="s">
        <v>251</v>
      </c>
      <c r="D39" s="155">
        <f>SUM(D6:D38)</f>
        <v>240.69999999999996</v>
      </c>
      <c r="E39" s="155">
        <f>SUM(E6:E38)</f>
        <v>21.69333013347944</v>
      </c>
      <c r="F39" s="155">
        <f>SUM(F6:F38)</f>
        <v>24.419896112868507</v>
      </c>
      <c r="G39" s="155">
        <f>SUM(G6:G38)</f>
        <v>8.100000000000001</v>
      </c>
      <c r="H39" s="155">
        <f>SUM(H6:H38)</f>
        <v>16.89591640814843</v>
      </c>
      <c r="I39" s="155">
        <f t="shared" si="0"/>
        <v>169.5908573455036</v>
      </c>
      <c r="J39" s="144"/>
      <c r="K39" s="100"/>
      <c r="L39" s="198"/>
      <c r="M39" s="198"/>
      <c r="N39" s="198"/>
      <c r="O39" s="198"/>
      <c r="P39" s="198"/>
      <c r="Q39" s="177"/>
      <c r="R39" s="181" t="s">
        <v>757</v>
      </c>
      <c r="S39" s="156">
        <f>SUM(S6:S38)</f>
        <v>11.791098903412806</v>
      </c>
      <c r="T39" s="156">
        <f>SUM(T6:T38)</f>
        <v>13.790153335563021</v>
      </c>
      <c r="U39" s="156">
        <f>SUM(U6:U38)</f>
        <v>3.859272743272391</v>
      </c>
      <c r="V39" s="156">
        <f>SUM(V6:V38)</f>
        <v>24.25033236325543</v>
      </c>
      <c r="W39" s="177"/>
      <c r="X39" s="185" t="s">
        <v>409</v>
      </c>
      <c r="Y39" s="1451">
        <f>SUM(Y40:AB40)</f>
        <v>124.80000000000004</v>
      </c>
      <c r="Z39" s="1451"/>
      <c r="AA39" s="1451"/>
      <c r="AB39" s="1451"/>
      <c r="AC39" s="100"/>
      <c r="AD39" s="185" t="s">
        <v>409</v>
      </c>
      <c r="AE39" s="1447">
        <f>SUM(AE40:AH40)</f>
        <v>0.9615810214988905</v>
      </c>
      <c r="AF39" s="1447"/>
      <c r="AG39" s="1447"/>
      <c r="AH39" s="1447"/>
      <c r="AI39" s="102"/>
      <c r="AJ39" s="156" t="s">
        <v>757</v>
      </c>
      <c r="AK39" s="156">
        <f>SUM(AK6:AK38)</f>
        <v>92.57917000000003</v>
      </c>
      <c r="AL39" s="199">
        <f>SUM(AL6:AL38)</f>
        <v>148.1208299999999</v>
      </c>
      <c r="AM39" s="201"/>
      <c r="AN39" s="200" t="s">
        <v>409</v>
      </c>
      <c r="AO39" s="1447">
        <f>SUM(AO40:AR40)</f>
        <v>49.25376000000002</v>
      </c>
      <c r="AP39" s="1447"/>
      <c r="AQ39" s="1447"/>
      <c r="AR39" s="1447"/>
      <c r="AS39" s="204"/>
      <c r="AT39" s="185" t="s">
        <v>409</v>
      </c>
      <c r="AU39" s="1447">
        <f>SUM(AU40:AX40)</f>
        <v>0.39504384948457427</v>
      </c>
      <c r="AV39" s="1447"/>
      <c r="AW39" s="1447"/>
      <c r="AX39" s="1447"/>
      <c r="AZ39" s="94"/>
      <c r="BA39" s="94"/>
    </row>
    <row r="40" spans="1:53" s="93" customFormat="1" ht="12.75">
      <c r="A40" s="133"/>
      <c r="B40" s="330"/>
      <c r="C40" s="176"/>
      <c r="D40" s="177"/>
      <c r="E40" s="177"/>
      <c r="F40" s="177"/>
      <c r="G40" s="177"/>
      <c r="H40" s="177"/>
      <c r="I40" s="177"/>
      <c r="J40" s="144"/>
      <c r="K40" s="100"/>
      <c r="L40" s="96"/>
      <c r="M40" s="96"/>
      <c r="N40" s="96"/>
      <c r="O40" s="96"/>
      <c r="P40" s="96"/>
      <c r="Q40" s="96"/>
      <c r="R40" s="182"/>
      <c r="S40" s="183"/>
      <c r="T40" s="183"/>
      <c r="U40" s="183"/>
      <c r="V40" s="183"/>
      <c r="W40" s="100"/>
      <c r="X40" s="185" t="s">
        <v>410</v>
      </c>
      <c r="Y40" s="186">
        <f>SUM(Y6:Y38)</f>
        <v>33.48442903689224</v>
      </c>
      <c r="Z40" s="186">
        <f>SUM(Z6:Z38)</f>
        <v>38.210049448431526</v>
      </c>
      <c r="AA40" s="186">
        <f>SUM(AA6:AA38)</f>
        <v>11.959272743272393</v>
      </c>
      <c r="AB40" s="186">
        <f>SUM(AB6:AB38)</f>
        <v>41.146248771403876</v>
      </c>
      <c r="AC40" s="100"/>
      <c r="AD40" s="185" t="s">
        <v>410</v>
      </c>
      <c r="AE40" s="196">
        <f>SUM(AE6:AE38)</f>
        <v>0.2223743723592253</v>
      </c>
      <c r="AF40" s="196">
        <f>SUM(AF6:AF38)</f>
        <v>0.26231225154812077</v>
      </c>
      <c r="AG40" s="196">
        <f>SUM(AG6:AG38)</f>
        <v>0.10739580382351949</v>
      </c>
      <c r="AH40" s="196">
        <f>SUM(AH6:AH38)</f>
        <v>0.3694985937680249</v>
      </c>
      <c r="AI40" s="102"/>
      <c r="AJ40" s="198"/>
      <c r="AK40" s="198"/>
      <c r="AL40" s="198"/>
      <c r="AM40" s="177"/>
      <c r="AN40" s="185" t="s">
        <v>410</v>
      </c>
      <c r="AO40" s="196">
        <f>SUM(AO6:AO38)</f>
        <v>9.37146762891244</v>
      </c>
      <c r="AP40" s="196">
        <f>SUM(AP6:AP38)</f>
        <v>11.981046128394489</v>
      </c>
      <c r="AQ40" s="196">
        <f>SUM(AQ6:AQ38)</f>
        <v>4.564131811881886</v>
      </c>
      <c r="AR40" s="203">
        <f>SUM(AR6:AR38)</f>
        <v>23.337114430811205</v>
      </c>
      <c r="AS40" s="205"/>
      <c r="AT40" s="185" t="s">
        <v>410</v>
      </c>
      <c r="AU40" s="196">
        <f>SUM(AU6:AU38)</f>
        <v>0.06223711414544756</v>
      </c>
      <c r="AV40" s="196">
        <f>SUM(AV6:AV38)</f>
        <v>0.08224996385002217</v>
      </c>
      <c r="AW40" s="196">
        <f>SUM(AW6:AW38)</f>
        <v>0.040986489330573424</v>
      </c>
      <c r="AX40" s="196">
        <f>SUM(AX6:AX38)</f>
        <v>0.20957028215853113</v>
      </c>
      <c r="AZ40" s="94"/>
      <c r="BA40" s="94"/>
    </row>
    <row r="41" spans="1:53" s="93" customFormat="1" ht="12.75">
      <c r="A41" s="133"/>
      <c r="B41" s="176"/>
      <c r="C41" s="176"/>
      <c r="D41" s="177"/>
      <c r="E41" s="177"/>
      <c r="F41" s="177"/>
      <c r="G41" s="177"/>
      <c r="H41" s="177"/>
      <c r="I41" s="177"/>
      <c r="J41" s="144"/>
      <c r="K41" s="100"/>
      <c r="L41" s="96"/>
      <c r="M41" s="184"/>
      <c r="N41" s="96"/>
      <c r="O41" s="96"/>
      <c r="P41" s="96"/>
      <c r="Q41" s="96"/>
      <c r="R41" s="98"/>
      <c r="S41" s="100"/>
      <c r="T41" s="100"/>
      <c r="U41" s="100"/>
      <c r="V41" s="100"/>
      <c r="W41" s="100"/>
      <c r="X41" s="185" t="s">
        <v>411</v>
      </c>
      <c r="Y41" s="180">
        <f>Y40/$Y$39</f>
        <v>0.26830471984689286</v>
      </c>
      <c r="Z41" s="180">
        <f>Z40/$Y$39</f>
        <v>0.30617026801627817</v>
      </c>
      <c r="AA41" s="180">
        <f>AA40/$Y$39</f>
        <v>0.09582750595570826</v>
      </c>
      <c r="AB41" s="180">
        <f>AB40/$Y$39</f>
        <v>0.3296975061811207</v>
      </c>
      <c r="AC41" s="100"/>
      <c r="AD41" s="185" t="s">
        <v>411</v>
      </c>
      <c r="AE41" s="180">
        <f>AE40/$AE$39</f>
        <v>0.23125911117982884</v>
      </c>
      <c r="AF41" s="180">
        <f>AF40/$AE$39</f>
        <v>0.27279266716312106</v>
      </c>
      <c r="AG41" s="180">
        <f>AG40/$AE$39</f>
        <v>0.11168669246000026</v>
      </c>
      <c r="AH41" s="180">
        <f>AH40/$AE$39</f>
        <v>0.38426152919704987</v>
      </c>
      <c r="AI41" s="102"/>
      <c r="AJ41" s="177"/>
      <c r="AK41" s="177"/>
      <c r="AL41" s="177"/>
      <c r="AM41" s="177"/>
      <c r="AN41" s="185" t="s">
        <v>411</v>
      </c>
      <c r="AO41" s="354">
        <f>AO40/$AO$39</f>
        <v>0.19026908055166622</v>
      </c>
      <c r="AP41" s="354">
        <f>AP40/$AO$39</f>
        <v>0.24325140107870918</v>
      </c>
      <c r="AQ41" s="354">
        <f>AQ40/$AO$39</f>
        <v>0.092665652569101</v>
      </c>
      <c r="AR41" s="355">
        <f>AR40/$AO$39</f>
        <v>0.47381386580052354</v>
      </c>
      <c r="AS41" s="179"/>
      <c r="AT41" s="185" t="s">
        <v>411</v>
      </c>
      <c r="AU41" s="180">
        <f>AU40/$AU$39</f>
        <v>0.15754482502803224</v>
      </c>
      <c r="AV41" s="180">
        <f>AV40/$AU$39</f>
        <v>0.20820464350308504</v>
      </c>
      <c r="AW41" s="180">
        <f>AW40/$AU$39</f>
        <v>0.10375174650624164</v>
      </c>
      <c r="AX41" s="180">
        <f>AX40/$AU$39</f>
        <v>0.5304987849626411</v>
      </c>
      <c r="AZ41" s="94"/>
      <c r="BA41" s="94"/>
    </row>
    <row r="42" spans="1:50" s="115" customFormat="1" ht="12.75">
      <c r="A42" s="1436"/>
      <c r="B42" s="1436"/>
      <c r="C42" s="117"/>
      <c r="D42" s="116"/>
      <c r="I42" s="120"/>
      <c r="J42" s="145"/>
      <c r="K42" s="119"/>
      <c r="L42" s="160"/>
      <c r="M42" s="160">
        <v>5</v>
      </c>
      <c r="N42" s="160">
        <v>4</v>
      </c>
      <c r="O42" s="160">
        <v>3</v>
      </c>
      <c r="P42" s="160">
        <v>2</v>
      </c>
      <c r="Q42" s="160"/>
      <c r="R42" s="121"/>
      <c r="S42" s="120"/>
      <c r="T42" s="120"/>
      <c r="U42" s="120"/>
      <c r="V42" s="120"/>
      <c r="W42" s="120"/>
      <c r="X42" s="315"/>
      <c r="Y42" s="316"/>
      <c r="Z42" s="317"/>
      <c r="AA42" s="317"/>
      <c r="AB42" s="317"/>
      <c r="AC42" s="120"/>
      <c r="AD42" s="120"/>
      <c r="AE42" s="122"/>
      <c r="AF42" s="122"/>
      <c r="AG42" s="122"/>
      <c r="AH42" s="122"/>
      <c r="AI42" s="122"/>
      <c r="AJ42" s="118"/>
      <c r="AK42" s="119"/>
      <c r="AL42" s="119"/>
      <c r="AM42" s="119"/>
      <c r="AN42" s="119"/>
      <c r="AO42" s="120" t="s">
        <v>150</v>
      </c>
      <c r="AP42" s="120"/>
      <c r="AQ42" s="120"/>
      <c r="AR42" s="120"/>
      <c r="AS42" s="120"/>
      <c r="AT42" s="122"/>
      <c r="AU42" s="122"/>
      <c r="AV42" s="122"/>
      <c r="AW42" s="122"/>
      <c r="AX42" s="122"/>
    </row>
    <row r="43" spans="1:50" s="115" customFormat="1" ht="12.75">
      <c r="A43" s="1436"/>
      <c r="B43" s="1436"/>
      <c r="C43" s="117"/>
      <c r="D43" s="123"/>
      <c r="I43" s="120"/>
      <c r="J43" s="145"/>
      <c r="K43" s="119"/>
      <c r="M43" s="121"/>
      <c r="N43" s="121"/>
      <c r="O43" s="121"/>
      <c r="P43" s="121"/>
      <c r="Q43" s="121"/>
      <c r="R43" s="121"/>
      <c r="S43" s="120"/>
      <c r="T43" s="120"/>
      <c r="U43" s="120"/>
      <c r="V43" s="120"/>
      <c r="W43" s="120"/>
      <c r="X43" s="318"/>
      <c r="Y43" s="319"/>
      <c r="Z43" s="320"/>
      <c r="AA43" s="320"/>
      <c r="AB43" s="320"/>
      <c r="AC43" s="120"/>
      <c r="AD43" s="120"/>
      <c r="AE43" s="122"/>
      <c r="AF43" s="122"/>
      <c r="AG43" s="122"/>
      <c r="AH43" s="122"/>
      <c r="AI43" s="122"/>
      <c r="AJ43" s="118"/>
      <c r="AK43" s="119"/>
      <c r="AL43" s="119"/>
      <c r="AM43" s="119"/>
      <c r="AN43" s="119"/>
      <c r="AO43" s="120"/>
      <c r="AP43" s="120"/>
      <c r="AQ43" s="120"/>
      <c r="AR43" s="120"/>
      <c r="AS43" s="120"/>
      <c r="AT43" s="122"/>
      <c r="AU43" s="122"/>
      <c r="AV43" s="122"/>
      <c r="AW43" s="122"/>
      <c r="AX43" s="122"/>
    </row>
    <row r="44" spans="1:50" s="115" customFormat="1" ht="12.75">
      <c r="A44" s="1436"/>
      <c r="B44" s="1436"/>
      <c r="C44" s="117"/>
      <c r="D44" s="116"/>
      <c r="I44" s="120"/>
      <c r="J44" s="145"/>
      <c r="K44" s="119"/>
      <c r="M44" s="121"/>
      <c r="N44" s="121"/>
      <c r="O44" s="121"/>
      <c r="P44" s="121"/>
      <c r="Q44" s="121"/>
      <c r="R44" s="121"/>
      <c r="S44" s="120"/>
      <c r="T44" s="120"/>
      <c r="U44" s="120"/>
      <c r="V44" s="120"/>
      <c r="W44" s="120"/>
      <c r="X44" s="370" t="s">
        <v>396</v>
      </c>
      <c r="Y44" s="370"/>
      <c r="Z44" s="370"/>
      <c r="AA44" s="370"/>
      <c r="AB44" s="370"/>
      <c r="AC44" s="371"/>
      <c r="AD44" s="120"/>
      <c r="AE44" s="122"/>
      <c r="AF44" s="122"/>
      <c r="AG44" s="122"/>
      <c r="AH44" s="122"/>
      <c r="AI44" s="122"/>
      <c r="AJ44" s="118"/>
      <c r="AK44" s="119"/>
      <c r="AL44" s="119"/>
      <c r="AM44" s="119"/>
      <c r="AN44" s="119"/>
      <c r="AO44" s="120"/>
      <c r="AP44" s="120"/>
      <c r="AQ44" s="120"/>
      <c r="AR44" s="120"/>
      <c r="AS44" s="120"/>
      <c r="AT44" s="122"/>
      <c r="AU44" s="122"/>
      <c r="AV44" s="122"/>
      <c r="AW44" s="122"/>
      <c r="AX44" s="122"/>
    </row>
    <row r="45" spans="1:50" s="115" customFormat="1" ht="12.75">
      <c r="A45" s="1436"/>
      <c r="B45" s="1436"/>
      <c r="C45" s="117"/>
      <c r="D45" s="116"/>
      <c r="I45" s="120"/>
      <c r="J45" s="145"/>
      <c r="K45" s="119"/>
      <c r="M45" s="121"/>
      <c r="N45" s="121"/>
      <c r="O45" s="121"/>
      <c r="P45" s="121"/>
      <c r="Q45" s="121"/>
      <c r="R45" s="121"/>
      <c r="S45" s="120"/>
      <c r="T45" s="120"/>
      <c r="U45" s="120"/>
      <c r="V45" s="120"/>
      <c r="W45" s="120"/>
      <c r="X45" s="370"/>
      <c r="Y45" s="370"/>
      <c r="Z45" s="370"/>
      <c r="AA45" s="370"/>
      <c r="AB45" s="370"/>
      <c r="AC45" s="371"/>
      <c r="AD45" s="120"/>
      <c r="AE45" s="122"/>
      <c r="AF45" s="122"/>
      <c r="AG45" s="122"/>
      <c r="AH45" s="122"/>
      <c r="AI45" s="122"/>
      <c r="AJ45" s="118"/>
      <c r="AK45" s="119"/>
      <c r="AL45" s="119"/>
      <c r="AM45" s="119"/>
      <c r="AN45" s="119"/>
      <c r="AO45" s="120"/>
      <c r="AP45" s="120"/>
      <c r="AQ45" s="120"/>
      <c r="AR45" s="120"/>
      <c r="AS45" s="120"/>
      <c r="AT45" s="122"/>
      <c r="AU45" s="122"/>
      <c r="AV45" s="122"/>
      <c r="AW45" s="122"/>
      <c r="AX45" s="122"/>
    </row>
    <row r="46" spans="1:50" s="115" customFormat="1" ht="12.75">
      <c r="A46" s="1436"/>
      <c r="B46" s="1436"/>
      <c r="C46" s="117"/>
      <c r="D46" s="116"/>
      <c r="I46" s="120"/>
      <c r="J46" s="145"/>
      <c r="K46" s="119"/>
      <c r="M46" s="121"/>
      <c r="N46" s="121"/>
      <c r="O46" s="121"/>
      <c r="P46" s="121"/>
      <c r="Q46" s="121"/>
      <c r="R46" s="121"/>
      <c r="S46" s="120"/>
      <c r="T46" s="120"/>
      <c r="U46" s="120"/>
      <c r="V46" s="120"/>
      <c r="W46" s="120"/>
      <c r="X46" s="315" t="s">
        <v>237</v>
      </c>
      <c r="Y46" s="316">
        <f>SUMIF(Y6:Y11,"&gt;0",Y6:Y11)+SUMIF(Y27:Y38,"&gt;0",Y27:Y38)</f>
        <v>25.095291660822948</v>
      </c>
      <c r="Z46" s="316">
        <f>SUMIF(Z6:Z11,"&gt;0",Z6:Z11)+SUMIF(Z27:Z38,"&gt;0",Z27:Z38)</f>
        <v>28.398623752085793</v>
      </c>
      <c r="AA46" s="316">
        <f>SUMIF(AA6:AA11,"&gt;0",AA6:AA11)+SUMIF(AA27:AA38,"&gt;0",AA27:AA38)</f>
        <v>9.21413247018548</v>
      </c>
      <c r="AB46" s="316">
        <f>SUMIF(AB6:AB11,"&gt;0",AB6:AB11)+SUMIF(AB27:AB38,"&gt;0",AB27:AB38)</f>
        <v>31.492609286469534</v>
      </c>
      <c r="AC46" s="370" t="s">
        <v>397</v>
      </c>
      <c r="AD46" s="120"/>
      <c r="AE46" s="122"/>
      <c r="AF46" s="122"/>
      <c r="AG46" s="122"/>
      <c r="AH46" s="122"/>
      <c r="AI46" s="122"/>
      <c r="AJ46" s="118"/>
      <c r="AK46" s="119"/>
      <c r="AL46" s="119"/>
      <c r="AM46" s="119"/>
      <c r="AN46" s="119"/>
      <c r="AO46" s="120"/>
      <c r="AP46" s="120"/>
      <c r="AQ46" s="120"/>
      <c r="AR46" s="120"/>
      <c r="AS46" s="120"/>
      <c r="AT46" s="122"/>
      <c r="AU46" s="122"/>
      <c r="AV46" s="122"/>
      <c r="AW46" s="122"/>
      <c r="AX46" s="122"/>
    </row>
    <row r="47" spans="1:50" s="115" customFormat="1" ht="12.75">
      <c r="A47" s="1436"/>
      <c r="B47" s="1436"/>
      <c r="C47" s="117"/>
      <c r="D47" s="116"/>
      <c r="E47" s="120"/>
      <c r="F47" s="120"/>
      <c r="G47" s="120"/>
      <c r="H47" s="120"/>
      <c r="I47" s="120"/>
      <c r="J47" s="145"/>
      <c r="K47" s="119"/>
      <c r="M47" s="121"/>
      <c r="N47" s="121"/>
      <c r="O47" s="121"/>
      <c r="P47" s="121"/>
      <c r="Q47" s="121"/>
      <c r="R47" s="121"/>
      <c r="S47" s="120"/>
      <c r="T47" s="120"/>
      <c r="U47" s="120"/>
      <c r="V47" s="120"/>
      <c r="W47" s="120"/>
      <c r="X47" s="318" t="s">
        <v>78</v>
      </c>
      <c r="Y47" s="319">
        <f>SUMIF(Y12:Y27,"&gt;0",Y12:Y27)</f>
        <v>8.389137376069293</v>
      </c>
      <c r="Z47" s="319">
        <f>SUMIF(Z12:Z27,"&gt;0",Z12:Z27)</f>
        <v>9.811425696345733</v>
      </c>
      <c r="AA47" s="319">
        <f>SUMIF(AA12:AA27,"&gt;0",AA12:AA27)</f>
        <v>2.745797442650661</v>
      </c>
      <c r="AB47" s="319">
        <f>SUMIF(AB12:AB27,"&gt;0",AB12:AB27)</f>
        <v>17.25363948493432</v>
      </c>
      <c r="AC47" s="370" t="s">
        <v>397</v>
      </c>
      <c r="AD47" s="120"/>
      <c r="AE47" s="122"/>
      <c r="AF47" s="122"/>
      <c r="AG47" s="122"/>
      <c r="AH47" s="122"/>
      <c r="AI47" s="122"/>
      <c r="AJ47" s="118"/>
      <c r="AK47" s="119"/>
      <c r="AL47" s="119"/>
      <c r="AM47" s="119"/>
      <c r="AN47" s="119"/>
      <c r="AO47" s="120"/>
      <c r="AP47" s="120"/>
      <c r="AQ47" s="120"/>
      <c r="AR47" s="120"/>
      <c r="AS47" s="120"/>
      <c r="AT47" s="122"/>
      <c r="AU47" s="122"/>
      <c r="AV47" s="122"/>
      <c r="AW47" s="122"/>
      <c r="AX47" s="122"/>
    </row>
    <row r="48" spans="1:50" s="115" customFormat="1" ht="12.75">
      <c r="A48" s="1436"/>
      <c r="B48" s="1436"/>
      <c r="C48" s="117"/>
      <c r="D48" s="116"/>
      <c r="I48" s="120"/>
      <c r="J48" s="146"/>
      <c r="K48" s="119"/>
      <c r="M48" s="121"/>
      <c r="N48" s="121"/>
      <c r="O48" s="121"/>
      <c r="P48" s="121"/>
      <c r="Q48" s="121"/>
      <c r="R48" s="121"/>
      <c r="S48" s="120"/>
      <c r="T48" s="120"/>
      <c r="U48" s="120"/>
      <c r="V48" s="120"/>
      <c r="W48" s="120"/>
      <c r="X48" s="318" t="s">
        <v>398</v>
      </c>
      <c r="Y48" s="321">
        <f>Y46/(Y47+Y46)</f>
        <v>0.7494615372767335</v>
      </c>
      <c r="Z48" s="322">
        <f>Z46/(Z47+Z46)</f>
        <v>0.7432239466324878</v>
      </c>
      <c r="AA48" s="322">
        <f>AA46/(AA47+AA46)</f>
        <v>0.7704169286390466</v>
      </c>
      <c r="AB48" s="372">
        <f>AB46/(AB47+AB46)</f>
        <v>0.646051954359699</v>
      </c>
      <c r="AC48" s="371"/>
      <c r="AD48" s="120"/>
      <c r="AE48" s="122"/>
      <c r="AF48" s="122"/>
      <c r="AG48" s="122"/>
      <c r="AH48" s="122"/>
      <c r="AI48" s="122"/>
      <c r="AJ48" s="118"/>
      <c r="AK48" s="119"/>
      <c r="AL48" s="119"/>
      <c r="AM48" s="119"/>
      <c r="AN48" s="119"/>
      <c r="AO48" s="120"/>
      <c r="AP48" s="120"/>
      <c r="AQ48" s="120"/>
      <c r="AR48" s="120"/>
      <c r="AS48" s="120"/>
      <c r="AT48" s="122"/>
      <c r="AU48" s="122"/>
      <c r="AV48" s="122"/>
      <c r="AW48" s="122"/>
      <c r="AX48" s="122"/>
    </row>
    <row r="49" spans="1:50" s="115" customFormat="1" ht="12.75">
      <c r="A49" s="1436"/>
      <c r="B49" s="1436"/>
      <c r="C49" s="117"/>
      <c r="D49" s="116"/>
      <c r="I49" s="120"/>
      <c r="J49" s="146"/>
      <c r="K49" s="119"/>
      <c r="M49" s="121"/>
      <c r="N49" s="121"/>
      <c r="O49" s="121"/>
      <c r="P49" s="121"/>
      <c r="Q49" s="121"/>
      <c r="R49" s="121"/>
      <c r="S49" s="120"/>
      <c r="T49" s="120"/>
      <c r="U49" s="120"/>
      <c r="V49" s="120"/>
      <c r="W49" s="120"/>
      <c r="X49" s="323" t="s">
        <v>79</v>
      </c>
      <c r="Y49" s="324">
        <f>Y47/(Y46+Y47)</f>
        <v>0.25053846272326663</v>
      </c>
      <c r="Z49" s="325">
        <f>Z47/(Z46+Z47)</f>
        <v>0.2567760533675122</v>
      </c>
      <c r="AA49" s="325">
        <f>AA47/(AA46+AA47)</f>
        <v>0.22958307136095343</v>
      </c>
      <c r="AB49" s="325">
        <f>AB47/(AB46+AB47)</f>
        <v>0.3539480456403011</v>
      </c>
      <c r="AC49" s="371"/>
      <c r="AD49" s="120"/>
      <c r="AE49" s="122"/>
      <c r="AF49" s="122"/>
      <c r="AG49" s="122"/>
      <c r="AH49" s="122"/>
      <c r="AI49" s="122"/>
      <c r="AJ49" s="118"/>
      <c r="AK49" s="119"/>
      <c r="AL49" s="119"/>
      <c r="AM49" s="119"/>
      <c r="AN49" s="119"/>
      <c r="AO49" s="120"/>
      <c r="AP49" s="120"/>
      <c r="AQ49" s="120"/>
      <c r="AR49" s="120"/>
      <c r="AS49" s="120"/>
      <c r="AT49" s="122"/>
      <c r="AU49" s="122"/>
      <c r="AV49" s="122"/>
      <c r="AW49" s="122"/>
      <c r="AX49" s="122"/>
    </row>
    <row r="50" spans="1:50" s="115" customFormat="1" ht="12.75">
      <c r="A50" s="1436"/>
      <c r="B50" s="1436"/>
      <c r="C50" s="117"/>
      <c r="D50" s="116"/>
      <c r="I50" s="120"/>
      <c r="J50" s="146"/>
      <c r="K50" s="119"/>
      <c r="M50" s="121"/>
      <c r="N50" s="121"/>
      <c r="O50" s="121"/>
      <c r="P50" s="121"/>
      <c r="Q50" s="121"/>
      <c r="R50" s="121"/>
      <c r="S50" s="120"/>
      <c r="T50" s="120"/>
      <c r="U50" s="120"/>
      <c r="V50" s="120"/>
      <c r="W50" s="120"/>
      <c r="X50" s="370"/>
      <c r="Y50" s="371"/>
      <c r="Z50" s="371"/>
      <c r="AA50" s="371"/>
      <c r="AB50" s="371"/>
      <c r="AC50" s="371"/>
      <c r="AD50" s="120"/>
      <c r="AE50" s="122"/>
      <c r="AF50" s="122"/>
      <c r="AG50" s="122"/>
      <c r="AH50" s="122"/>
      <c r="AI50" s="122"/>
      <c r="AJ50" s="118"/>
      <c r="AK50" s="119"/>
      <c r="AL50" s="119"/>
      <c r="AM50" s="119"/>
      <c r="AN50" s="119"/>
      <c r="AO50" s="120"/>
      <c r="AP50" s="120"/>
      <c r="AQ50" s="120"/>
      <c r="AR50" s="120"/>
      <c r="AS50" s="120"/>
      <c r="AT50" s="122"/>
      <c r="AU50" s="122"/>
      <c r="AV50" s="122"/>
      <c r="AW50" s="122"/>
      <c r="AX50" s="122"/>
    </row>
    <row r="51" spans="1:50" s="115" customFormat="1" ht="12.75">
      <c r="A51" s="1436"/>
      <c r="B51" s="1436"/>
      <c r="C51" s="117"/>
      <c r="D51" s="116"/>
      <c r="I51" s="120"/>
      <c r="J51" s="146"/>
      <c r="K51" s="119"/>
      <c r="M51" s="121"/>
      <c r="N51" s="121"/>
      <c r="O51" s="121"/>
      <c r="P51" s="121"/>
      <c r="Q51" s="121"/>
      <c r="R51" s="121"/>
      <c r="S51" s="120"/>
      <c r="T51" s="120"/>
      <c r="U51" s="120"/>
      <c r="V51" s="120"/>
      <c r="W51" s="120"/>
      <c r="Y51" s="120"/>
      <c r="Z51" s="120"/>
      <c r="AA51" s="120"/>
      <c r="AB51" s="120"/>
      <c r="AC51" s="120"/>
      <c r="AD51" s="120"/>
      <c r="AE51" s="122"/>
      <c r="AF51" s="122"/>
      <c r="AG51" s="122"/>
      <c r="AH51" s="122"/>
      <c r="AI51" s="122"/>
      <c r="AJ51" s="118"/>
      <c r="AK51" s="119"/>
      <c r="AL51" s="119"/>
      <c r="AM51" s="119"/>
      <c r="AN51" s="119"/>
      <c r="AO51" s="120"/>
      <c r="AP51" s="120"/>
      <c r="AQ51" s="120"/>
      <c r="AR51" s="120"/>
      <c r="AS51" s="120"/>
      <c r="AT51" s="122"/>
      <c r="AU51" s="122"/>
      <c r="AV51" s="122"/>
      <c r="AW51" s="122"/>
      <c r="AX51" s="122"/>
    </row>
    <row r="52" spans="1:50" s="115" customFormat="1" ht="12.75">
      <c r="A52" s="1436"/>
      <c r="B52" s="1436"/>
      <c r="C52" s="117"/>
      <c r="D52" s="116"/>
      <c r="I52" s="120"/>
      <c r="J52" s="146"/>
      <c r="K52" s="119"/>
      <c r="M52" s="121"/>
      <c r="N52" s="121"/>
      <c r="O52" s="121"/>
      <c r="P52" s="121"/>
      <c r="Q52" s="121"/>
      <c r="R52" s="121"/>
      <c r="S52" s="120"/>
      <c r="T52" s="120"/>
      <c r="U52" s="120"/>
      <c r="V52" s="120"/>
      <c r="W52" s="120"/>
      <c r="Y52" s="120"/>
      <c r="Z52" s="120"/>
      <c r="AA52" s="120"/>
      <c r="AB52" s="120"/>
      <c r="AC52" s="120"/>
      <c r="AD52" s="120"/>
      <c r="AE52" s="122"/>
      <c r="AF52" s="122"/>
      <c r="AG52" s="122"/>
      <c r="AH52" s="122"/>
      <c r="AI52" s="122"/>
      <c r="AJ52" s="118"/>
      <c r="AK52" s="119"/>
      <c r="AL52" s="119"/>
      <c r="AM52" s="119"/>
      <c r="AN52" s="119"/>
      <c r="AO52" s="120"/>
      <c r="AP52" s="120"/>
      <c r="AQ52" s="120"/>
      <c r="AR52" s="120"/>
      <c r="AS52" s="120"/>
      <c r="AT52" s="122"/>
      <c r="AU52" s="122"/>
      <c r="AV52" s="122"/>
      <c r="AW52" s="122"/>
      <c r="AX52" s="122"/>
    </row>
    <row r="53" spans="1:50" s="115" customFormat="1" ht="12.75">
      <c r="A53" s="1436"/>
      <c r="B53" s="1436"/>
      <c r="C53" s="117"/>
      <c r="D53" s="116"/>
      <c r="I53" s="120"/>
      <c r="J53" s="146"/>
      <c r="K53" s="119"/>
      <c r="M53" s="121"/>
      <c r="N53" s="121"/>
      <c r="O53" s="121"/>
      <c r="P53" s="121"/>
      <c r="Q53" s="121"/>
      <c r="R53" s="121"/>
      <c r="S53" s="120"/>
      <c r="T53" s="120"/>
      <c r="U53" s="120"/>
      <c r="V53" s="120"/>
      <c r="W53" s="120"/>
      <c r="Y53" s="120"/>
      <c r="Z53" s="120"/>
      <c r="AA53" s="120"/>
      <c r="AB53" s="120"/>
      <c r="AC53" s="120"/>
      <c r="AD53" s="120"/>
      <c r="AE53" s="122"/>
      <c r="AF53" s="122"/>
      <c r="AG53" s="122"/>
      <c r="AH53" s="122"/>
      <c r="AI53" s="122"/>
      <c r="AJ53" s="118"/>
      <c r="AK53" s="119"/>
      <c r="AL53" s="119"/>
      <c r="AM53" s="119"/>
      <c r="AN53" s="119"/>
      <c r="AO53" s="120"/>
      <c r="AP53" s="120"/>
      <c r="AQ53" s="120"/>
      <c r="AR53" s="120"/>
      <c r="AS53" s="120"/>
      <c r="AT53" s="122"/>
      <c r="AU53" s="122"/>
      <c r="AV53" s="122"/>
      <c r="AW53" s="122"/>
      <c r="AX53" s="122"/>
    </row>
    <row r="54" spans="1:50" s="115" customFormat="1" ht="12.75">
      <c r="A54" s="1436"/>
      <c r="B54" s="1436"/>
      <c r="C54" s="117"/>
      <c r="D54" s="116"/>
      <c r="I54" s="120"/>
      <c r="J54" s="146"/>
      <c r="K54" s="119"/>
      <c r="M54" s="121"/>
      <c r="N54" s="121"/>
      <c r="O54" s="121"/>
      <c r="P54" s="121"/>
      <c r="Q54" s="121"/>
      <c r="R54" s="121"/>
      <c r="S54" s="120"/>
      <c r="T54" s="120"/>
      <c r="U54" s="120"/>
      <c r="V54" s="120"/>
      <c r="W54" s="120"/>
      <c r="Y54" s="120"/>
      <c r="Z54" s="120"/>
      <c r="AA54" s="120"/>
      <c r="AB54" s="120"/>
      <c r="AC54" s="120"/>
      <c r="AD54" s="120"/>
      <c r="AE54" s="122"/>
      <c r="AF54" s="122"/>
      <c r="AG54" s="122"/>
      <c r="AH54" s="122"/>
      <c r="AI54" s="122"/>
      <c r="AJ54" s="118"/>
      <c r="AK54" s="119"/>
      <c r="AL54" s="119"/>
      <c r="AM54" s="119"/>
      <c r="AN54" s="119"/>
      <c r="AO54" s="120"/>
      <c r="AP54" s="120"/>
      <c r="AQ54" s="120"/>
      <c r="AR54" s="120"/>
      <c r="AS54" s="120"/>
      <c r="AT54" s="122"/>
      <c r="AU54" s="122"/>
      <c r="AV54" s="122"/>
      <c r="AW54" s="122"/>
      <c r="AX54" s="122"/>
    </row>
    <row r="55" spans="1:50" s="115" customFormat="1" ht="12.75">
      <c r="A55" s="1436"/>
      <c r="B55" s="1436"/>
      <c r="C55" s="117"/>
      <c r="D55" s="116"/>
      <c r="I55" s="120"/>
      <c r="J55" s="146"/>
      <c r="K55" s="119"/>
      <c r="M55" s="121"/>
      <c r="N55" s="121"/>
      <c r="O55" s="121"/>
      <c r="P55" s="121"/>
      <c r="Q55" s="121"/>
      <c r="R55" s="121"/>
      <c r="S55" s="120"/>
      <c r="T55" s="120"/>
      <c r="U55" s="120"/>
      <c r="V55" s="120"/>
      <c r="W55" s="120"/>
      <c r="Y55" s="120"/>
      <c r="Z55" s="120"/>
      <c r="AA55" s="120"/>
      <c r="AB55" s="120"/>
      <c r="AC55" s="120"/>
      <c r="AD55" s="120"/>
      <c r="AE55" s="122"/>
      <c r="AF55" s="122"/>
      <c r="AG55" s="122"/>
      <c r="AH55" s="122"/>
      <c r="AI55" s="122"/>
      <c r="AJ55" s="118"/>
      <c r="AK55" s="119"/>
      <c r="AL55" s="119"/>
      <c r="AM55" s="119"/>
      <c r="AN55" s="119"/>
      <c r="AO55" s="120"/>
      <c r="AP55" s="120"/>
      <c r="AQ55" s="120"/>
      <c r="AR55" s="120"/>
      <c r="AS55" s="120"/>
      <c r="AT55" s="122"/>
      <c r="AU55" s="122"/>
      <c r="AV55" s="122"/>
      <c r="AW55" s="122"/>
      <c r="AX55" s="122"/>
    </row>
    <row r="56" spans="1:50" s="115" customFormat="1" ht="12.75">
      <c r="A56" s="1436"/>
      <c r="B56" s="1436"/>
      <c r="C56" s="117"/>
      <c r="D56" s="116"/>
      <c r="I56" s="120"/>
      <c r="J56" s="146"/>
      <c r="K56" s="119"/>
      <c r="M56" s="121"/>
      <c r="N56" s="121"/>
      <c r="O56" s="121"/>
      <c r="P56" s="121"/>
      <c r="Q56" s="121"/>
      <c r="R56" s="121"/>
      <c r="S56" s="120"/>
      <c r="T56" s="120"/>
      <c r="U56" s="120"/>
      <c r="V56" s="120"/>
      <c r="W56" s="120"/>
      <c r="Y56" s="120"/>
      <c r="Z56" s="120"/>
      <c r="AA56" s="120"/>
      <c r="AB56" s="120"/>
      <c r="AC56" s="120"/>
      <c r="AD56" s="120"/>
      <c r="AE56" s="122"/>
      <c r="AF56" s="122"/>
      <c r="AG56" s="122"/>
      <c r="AH56" s="122"/>
      <c r="AI56" s="122"/>
      <c r="AJ56" s="118"/>
      <c r="AK56" s="119"/>
      <c r="AL56" s="119"/>
      <c r="AM56" s="119"/>
      <c r="AN56" s="119"/>
      <c r="AO56" s="120"/>
      <c r="AP56" s="120"/>
      <c r="AQ56" s="120"/>
      <c r="AR56" s="120"/>
      <c r="AS56" s="120"/>
      <c r="AT56" s="122"/>
      <c r="AU56" s="122"/>
      <c r="AV56" s="122"/>
      <c r="AW56" s="122"/>
      <c r="AX56" s="122"/>
    </row>
    <row r="57" spans="1:50" s="115" customFormat="1" ht="12.75">
      <c r="A57" s="1436"/>
      <c r="B57" s="1436"/>
      <c r="C57" s="117"/>
      <c r="D57" s="116"/>
      <c r="I57" s="120"/>
      <c r="J57" s="146"/>
      <c r="K57" s="119"/>
      <c r="M57" s="121"/>
      <c r="N57" s="121"/>
      <c r="O57" s="121"/>
      <c r="P57" s="121"/>
      <c r="Q57" s="121"/>
      <c r="R57" s="121"/>
      <c r="S57" s="120"/>
      <c r="T57" s="120"/>
      <c r="U57" s="120"/>
      <c r="V57" s="120"/>
      <c r="W57" s="120"/>
      <c r="Y57" s="120"/>
      <c r="Z57" s="120"/>
      <c r="AA57" s="120"/>
      <c r="AB57" s="120"/>
      <c r="AC57" s="120"/>
      <c r="AD57" s="120"/>
      <c r="AE57" s="122"/>
      <c r="AF57" s="122"/>
      <c r="AG57" s="122"/>
      <c r="AH57" s="122"/>
      <c r="AI57" s="122"/>
      <c r="AJ57" s="118"/>
      <c r="AK57" s="119"/>
      <c r="AL57" s="119"/>
      <c r="AM57" s="119"/>
      <c r="AN57" s="119"/>
      <c r="AO57" s="120"/>
      <c r="AP57" s="120"/>
      <c r="AQ57" s="120"/>
      <c r="AR57" s="120"/>
      <c r="AS57" s="120"/>
      <c r="AT57" s="122"/>
      <c r="AU57" s="122"/>
      <c r="AV57" s="122"/>
      <c r="AW57" s="122"/>
      <c r="AX57" s="122"/>
    </row>
    <row r="58" spans="1:50" s="115" customFormat="1" ht="12.75">
      <c r="A58" s="1436"/>
      <c r="B58" s="1436"/>
      <c r="C58" s="117"/>
      <c r="D58" s="116"/>
      <c r="I58" s="120"/>
      <c r="J58" s="146"/>
      <c r="K58" s="119"/>
      <c r="M58" s="121"/>
      <c r="N58" s="121"/>
      <c r="O58" s="121"/>
      <c r="P58" s="121"/>
      <c r="Q58" s="121"/>
      <c r="R58" s="121"/>
      <c r="S58" s="120"/>
      <c r="T58" s="120"/>
      <c r="U58" s="120"/>
      <c r="V58" s="120"/>
      <c r="W58" s="120"/>
      <c r="Y58" s="120"/>
      <c r="Z58" s="120"/>
      <c r="AA58" s="120"/>
      <c r="AB58" s="120"/>
      <c r="AC58" s="120"/>
      <c r="AD58" s="120"/>
      <c r="AE58" s="122"/>
      <c r="AF58" s="122"/>
      <c r="AG58" s="122"/>
      <c r="AH58" s="122"/>
      <c r="AI58" s="122"/>
      <c r="AJ58" s="118"/>
      <c r="AK58" s="119"/>
      <c r="AL58" s="119"/>
      <c r="AM58" s="119"/>
      <c r="AN58" s="119"/>
      <c r="AO58" s="120"/>
      <c r="AP58" s="120"/>
      <c r="AQ58" s="120"/>
      <c r="AR58" s="120"/>
      <c r="AS58" s="120"/>
      <c r="AT58" s="122"/>
      <c r="AU58" s="122"/>
      <c r="AV58" s="122"/>
      <c r="AW58" s="122"/>
      <c r="AX58" s="122"/>
    </row>
    <row r="59" spans="1:50" s="115" customFormat="1" ht="12.75">
      <c r="A59" s="1436"/>
      <c r="B59" s="1436"/>
      <c r="C59" s="117"/>
      <c r="D59" s="116"/>
      <c r="I59" s="120"/>
      <c r="J59" s="146"/>
      <c r="K59" s="119"/>
      <c r="M59" s="121"/>
      <c r="N59" s="121"/>
      <c r="O59" s="121"/>
      <c r="P59" s="121"/>
      <c r="Q59" s="121"/>
      <c r="R59" s="121"/>
      <c r="S59" s="120"/>
      <c r="T59" s="120"/>
      <c r="U59" s="120"/>
      <c r="V59" s="120"/>
      <c r="W59" s="120"/>
      <c r="Y59" s="120"/>
      <c r="Z59" s="120"/>
      <c r="AA59" s="120"/>
      <c r="AB59" s="120"/>
      <c r="AC59" s="120"/>
      <c r="AD59" s="120"/>
      <c r="AE59" s="122"/>
      <c r="AF59" s="122"/>
      <c r="AG59" s="122"/>
      <c r="AH59" s="122"/>
      <c r="AI59" s="122"/>
      <c r="AJ59" s="118"/>
      <c r="AK59" s="119"/>
      <c r="AL59" s="119"/>
      <c r="AM59" s="119"/>
      <c r="AN59" s="119"/>
      <c r="AO59" s="120"/>
      <c r="AP59" s="120"/>
      <c r="AQ59" s="120"/>
      <c r="AR59" s="120"/>
      <c r="AS59" s="120"/>
      <c r="AT59" s="122"/>
      <c r="AU59" s="122"/>
      <c r="AV59" s="122"/>
      <c r="AW59" s="122"/>
      <c r="AX59" s="122"/>
    </row>
    <row r="60" spans="1:50" s="115" customFormat="1" ht="12.75">
      <c r="A60" s="1436"/>
      <c r="B60" s="1436"/>
      <c r="C60" s="117"/>
      <c r="D60" s="116"/>
      <c r="I60" s="120"/>
      <c r="J60" s="146"/>
      <c r="K60" s="119"/>
      <c r="M60" s="121"/>
      <c r="N60" s="121"/>
      <c r="O60" s="121"/>
      <c r="P60" s="121"/>
      <c r="Q60" s="121"/>
      <c r="R60" s="121"/>
      <c r="S60" s="120"/>
      <c r="T60" s="120"/>
      <c r="U60" s="120"/>
      <c r="V60" s="120"/>
      <c r="W60" s="120"/>
      <c r="Y60" s="120"/>
      <c r="Z60" s="120"/>
      <c r="AA60" s="120"/>
      <c r="AB60" s="120"/>
      <c r="AC60" s="120"/>
      <c r="AD60" s="120"/>
      <c r="AE60" s="122"/>
      <c r="AF60" s="122"/>
      <c r="AG60" s="122"/>
      <c r="AH60" s="122"/>
      <c r="AI60" s="122"/>
      <c r="AJ60" s="118"/>
      <c r="AK60" s="119"/>
      <c r="AL60" s="119"/>
      <c r="AM60" s="119"/>
      <c r="AN60" s="119"/>
      <c r="AO60" s="120"/>
      <c r="AP60" s="120"/>
      <c r="AQ60" s="120"/>
      <c r="AR60" s="120"/>
      <c r="AS60" s="120"/>
      <c r="AT60" s="122"/>
      <c r="AU60" s="122"/>
      <c r="AV60" s="122"/>
      <c r="AW60" s="122"/>
      <c r="AX60" s="122"/>
    </row>
    <row r="61" spans="1:50" s="115" customFormat="1" ht="12.75">
      <c r="A61" s="1436"/>
      <c r="B61" s="1436"/>
      <c r="C61" s="117"/>
      <c r="D61" s="116"/>
      <c r="I61" s="120"/>
      <c r="J61" s="146"/>
      <c r="K61" s="119"/>
      <c r="M61" s="121"/>
      <c r="N61" s="121"/>
      <c r="O61" s="121"/>
      <c r="P61" s="121"/>
      <c r="Q61" s="121"/>
      <c r="R61" s="121"/>
      <c r="S61" s="120"/>
      <c r="T61" s="120"/>
      <c r="U61" s="120"/>
      <c r="V61" s="120"/>
      <c r="W61" s="120"/>
      <c r="Y61" s="120"/>
      <c r="Z61" s="120"/>
      <c r="AA61" s="120"/>
      <c r="AB61" s="120"/>
      <c r="AC61" s="120"/>
      <c r="AD61" s="120"/>
      <c r="AE61" s="122"/>
      <c r="AF61" s="122"/>
      <c r="AG61" s="122"/>
      <c r="AH61" s="122"/>
      <c r="AI61" s="122"/>
      <c r="AJ61" s="118"/>
      <c r="AK61" s="119"/>
      <c r="AL61" s="119"/>
      <c r="AM61" s="119"/>
      <c r="AN61" s="119"/>
      <c r="AO61" s="120"/>
      <c r="AP61" s="120"/>
      <c r="AQ61" s="120"/>
      <c r="AR61" s="120"/>
      <c r="AS61" s="120"/>
      <c r="AT61" s="122"/>
      <c r="AU61" s="122"/>
      <c r="AV61" s="122"/>
      <c r="AW61" s="122"/>
      <c r="AX61" s="122"/>
    </row>
    <row r="62" spans="1:50" s="115" customFormat="1" ht="12.75">
      <c r="A62" s="1436"/>
      <c r="B62" s="1436"/>
      <c r="C62" s="117"/>
      <c r="D62" s="116"/>
      <c r="I62" s="120"/>
      <c r="J62" s="146"/>
      <c r="K62" s="119"/>
      <c r="M62" s="121"/>
      <c r="N62" s="121"/>
      <c r="O62" s="121"/>
      <c r="P62" s="121"/>
      <c r="Q62" s="121"/>
      <c r="R62" s="121"/>
      <c r="S62" s="120"/>
      <c r="T62" s="120"/>
      <c r="U62" s="120"/>
      <c r="V62" s="120"/>
      <c r="W62" s="120"/>
      <c r="Y62" s="120"/>
      <c r="Z62" s="120"/>
      <c r="AA62" s="120"/>
      <c r="AB62" s="120"/>
      <c r="AC62" s="120"/>
      <c r="AD62" s="120"/>
      <c r="AE62" s="122"/>
      <c r="AF62" s="122"/>
      <c r="AG62" s="122"/>
      <c r="AH62" s="122"/>
      <c r="AI62" s="122"/>
      <c r="AJ62" s="118"/>
      <c r="AK62" s="119"/>
      <c r="AL62" s="119"/>
      <c r="AM62" s="119"/>
      <c r="AN62" s="119"/>
      <c r="AO62" s="120"/>
      <c r="AP62" s="120"/>
      <c r="AQ62" s="120"/>
      <c r="AR62" s="120"/>
      <c r="AS62" s="120"/>
      <c r="AT62" s="122"/>
      <c r="AU62" s="122"/>
      <c r="AV62" s="122"/>
      <c r="AW62" s="122"/>
      <c r="AX62" s="122"/>
    </row>
  </sheetData>
  <sheetProtection/>
  <mergeCells count="23">
    <mergeCell ref="D2:I2"/>
    <mergeCell ref="L2:P2"/>
    <mergeCell ref="S2:V2"/>
    <mergeCell ref="Y2:AB2"/>
    <mergeCell ref="AE2:AH2"/>
    <mergeCell ref="AJ2:AR2"/>
    <mergeCell ref="AU39:AX39"/>
    <mergeCell ref="AE39:AH39"/>
    <mergeCell ref="M4:P4"/>
    <mergeCell ref="Y39:AB39"/>
    <mergeCell ref="AO39:AR39"/>
    <mergeCell ref="S3:V3"/>
    <mergeCell ref="Y3:AB3"/>
    <mergeCell ref="AU3:AX3"/>
    <mergeCell ref="AJ3:AL3"/>
    <mergeCell ref="AO3:AR3"/>
    <mergeCell ref="A42:A62"/>
    <mergeCell ref="B42:B47"/>
    <mergeCell ref="B48:B62"/>
    <mergeCell ref="E4:H4"/>
    <mergeCell ref="E3:I3"/>
    <mergeCell ref="AE3:AH3"/>
    <mergeCell ref="L3:P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7" t="s">
        <v>281</v>
      </c>
      <c r="D1" s="389" t="s">
        <v>776</v>
      </c>
    </row>
    <row r="2" ht="38.25">
      <c r="B2" s="188" t="s">
        <v>282</v>
      </c>
    </row>
    <row r="3" spans="1:2" ht="12.75">
      <c r="A3" s="188" t="s">
        <v>283</v>
      </c>
      <c r="B3" s="189">
        <f>'RRP 5.1'!G36</f>
        <v>11135.698339690003</v>
      </c>
    </row>
    <row r="4" spans="1:2" ht="12.75">
      <c r="A4" s="188" t="s">
        <v>159</v>
      </c>
      <c r="B4" s="189">
        <f>'RRP 5.1'!G35</f>
        <v>3560.4307965</v>
      </c>
    </row>
    <row r="5" spans="1:2" ht="12.75">
      <c r="A5" s="188" t="s">
        <v>424</v>
      </c>
      <c r="B5" s="189">
        <f>'RRP 5.1'!G34</f>
        <v>519.3929296</v>
      </c>
    </row>
    <row r="6" spans="1:2" ht="12.75">
      <c r="A6" s="188" t="s">
        <v>436</v>
      </c>
      <c r="B6" s="189">
        <f>'RRP 5.1'!G40</f>
        <v>1023.462</v>
      </c>
    </row>
    <row r="8" ht="15.75">
      <c r="A8" s="187" t="s">
        <v>425</v>
      </c>
    </row>
    <row r="9" spans="2:6" ht="12.75">
      <c r="B9" s="188" t="s">
        <v>426</v>
      </c>
      <c r="C9" s="188" t="s">
        <v>751</v>
      </c>
      <c r="D9" s="188" t="s">
        <v>750</v>
      </c>
      <c r="E9" s="188" t="s">
        <v>756</v>
      </c>
      <c r="F9" s="188" t="s">
        <v>754</v>
      </c>
    </row>
    <row r="10" spans="1:6" ht="12.75">
      <c r="A10" s="188" t="s">
        <v>283</v>
      </c>
      <c r="B10" s="189">
        <v>1</v>
      </c>
      <c r="C10" s="189">
        <v>1</v>
      </c>
      <c r="D10" s="189">
        <v>1</v>
      </c>
      <c r="E10" s="189">
        <v>1</v>
      </c>
      <c r="F10" s="189">
        <v>1</v>
      </c>
    </row>
    <row r="11" spans="1:6" ht="12.75">
      <c r="A11" s="188" t="s">
        <v>159</v>
      </c>
      <c r="B11" s="189">
        <v>0</v>
      </c>
      <c r="C11" s="189">
        <v>0</v>
      </c>
      <c r="D11" s="189">
        <f>(1+$B$6/($B$3+$B$4/2+$B$5/4)/2)/(1+$B$6/($B$3+$B$4/2+$B$5/4))</f>
        <v>0.9636276314117392</v>
      </c>
      <c r="E11" s="189">
        <f>(1+$B$6/($B$3+$B$4/2+$B$5/4)/2)/(1+$B$6/($B$3+$B$4/2+$B$5/4))</f>
        <v>0.9636276314117392</v>
      </c>
      <c r="F11" s="189">
        <f>(1+$B$6/($B$3+$B$4/2+$B$5/4)/2)/(1+$B$6/($B$3+$B$4/2+$B$5/4))</f>
        <v>0.9636276314117392</v>
      </c>
    </row>
    <row r="12" spans="1:6" ht="12.75">
      <c r="A12" s="188" t="s">
        <v>424</v>
      </c>
      <c r="B12" s="189">
        <v>0</v>
      </c>
      <c r="C12" s="189">
        <v>0</v>
      </c>
      <c r="D12" s="189">
        <v>0</v>
      </c>
      <c r="E12" s="189">
        <f>(1+$B$6/($B$3+$B$4/2+$B$5/4)/4)/(1+$B$6/($B$3+$B$4/2+$B$5/4))</f>
        <v>0.945441447117609</v>
      </c>
      <c r="F12" s="189">
        <f>(1+$B$6/($B$3+$B$4/2+$B$5/4)/4)/(1+$B$6/($B$3+$B$4/2+$B$5/4))</f>
        <v>0.945441447117609</v>
      </c>
    </row>
    <row r="14" ht="15.75">
      <c r="A14" s="187"/>
    </row>
    <row r="15" ht="14.25">
      <c r="A15" s="190"/>
    </row>
    <row r="16" ht="14.25">
      <c r="A16" s="190"/>
    </row>
    <row r="17" ht="14.25">
      <c r="A17" s="191"/>
    </row>
    <row r="18" ht="14.25">
      <c r="A18" s="191"/>
    </row>
    <row r="19" spans="2:6" ht="12.75">
      <c r="B19" s="188" t="s">
        <v>426</v>
      </c>
      <c r="C19" s="188" t="s">
        <v>751</v>
      </c>
      <c r="D19" s="188" t="s">
        <v>750</v>
      </c>
      <c r="E19" s="188" t="s">
        <v>756</v>
      </c>
      <c r="F19" s="188" t="s">
        <v>754</v>
      </c>
    </row>
    <row r="20" spans="1:6" ht="12.75">
      <c r="A20" s="188" t="s">
        <v>435</v>
      </c>
      <c r="B20" s="192">
        <f>SUMPRODUCT(B$10:B$12,$B$3:$B$5)</f>
        <v>11135.698339690003</v>
      </c>
      <c r="C20" s="192">
        <f>SUMPRODUCT(C$10:C$12,$B$3:$B$5)</f>
        <v>11135.698339690003</v>
      </c>
      <c r="D20" s="192">
        <f>SUMPRODUCT(D$10:D$12,$B$3:$B$5)</f>
        <v>14566.62783492671</v>
      </c>
      <c r="E20" s="192">
        <f>SUMPRODUCT(E$10:E$12,$B$3:$B$5)</f>
        <v>15057.68343791039</v>
      </c>
      <c r="F20" s="192">
        <f>SUMPRODUCT(F$10:F$12,$B$3:$B$5)</f>
        <v>15057.68343791039</v>
      </c>
    </row>
    <row r="21" spans="1:6" ht="12.75">
      <c r="A21" s="188" t="s">
        <v>95</v>
      </c>
      <c r="B21" s="195">
        <f>B20*1000000</f>
        <v>11135698339.690002</v>
      </c>
      <c r="C21" s="195">
        <f>C20*1000000</f>
        <v>11135698339.690002</v>
      </c>
      <c r="D21" s="195">
        <f>D20*1000000</f>
        <v>14566627834.92671</v>
      </c>
      <c r="E21" s="195">
        <f>E20*1000000</f>
        <v>15057683437.910389</v>
      </c>
      <c r="F21" s="195">
        <f>F20*1000000</f>
        <v>15057683437.910389</v>
      </c>
    </row>
    <row r="25" spans="1:5" ht="12.75">
      <c r="A25" s="93"/>
      <c r="B25" s="93"/>
      <c r="C25" s="93"/>
      <c r="D25" s="93"/>
      <c r="E25" s="93"/>
    </row>
    <row r="26" spans="1:5" ht="12.75">
      <c r="A26" s="93"/>
      <c r="B26" s="93"/>
      <c r="C26" s="93"/>
      <c r="D26" s="93"/>
      <c r="E26" s="93"/>
    </row>
    <row r="27" spans="1:5" ht="12.75">
      <c r="A27" s="93"/>
      <c r="B27" s="93"/>
      <c r="C27" s="193"/>
      <c r="D27" s="193"/>
      <c r="E27" s="193"/>
    </row>
    <row r="28" spans="1:5" ht="12.75">
      <c r="A28" s="93"/>
      <c r="B28" s="93"/>
      <c r="C28" s="193"/>
      <c r="D28" s="193"/>
      <c r="E28" s="193"/>
    </row>
    <row r="29" spans="1:5" ht="12.75">
      <c r="A29" s="93"/>
      <c r="B29" s="93"/>
      <c r="C29" s="193"/>
      <c r="D29" s="193"/>
      <c r="E29" s="193"/>
    </row>
    <row r="30" spans="1:5" ht="12.75">
      <c r="A30" s="93"/>
      <c r="B30" s="93"/>
      <c r="C30" s="193"/>
      <c r="D30" s="193"/>
      <c r="E30" s="193"/>
    </row>
    <row r="31" spans="1:5" ht="12.75">
      <c r="A31" s="93"/>
      <c r="B31" s="93"/>
      <c r="C31" s="194"/>
      <c r="D31" s="194"/>
      <c r="E31" s="193"/>
    </row>
    <row r="32" spans="1:5" ht="12.75">
      <c r="A32" s="93"/>
      <c r="B32" s="93"/>
      <c r="C32" s="194"/>
      <c r="D32" s="194"/>
      <c r="E32" s="193"/>
    </row>
    <row r="33" spans="1:5" ht="12.75">
      <c r="A33" s="93"/>
      <c r="B33" s="93"/>
      <c r="C33" s="194"/>
      <c r="D33" s="194"/>
      <c r="E33" s="193"/>
    </row>
    <row r="34" spans="1:5" ht="12.75">
      <c r="A34" s="93"/>
      <c r="B34" s="93"/>
      <c r="C34" s="194"/>
      <c r="D34" s="194"/>
      <c r="E34" s="193"/>
    </row>
    <row r="35" spans="1:5" ht="12.75">
      <c r="A35" s="93"/>
      <c r="B35" s="93"/>
      <c r="C35" s="194"/>
      <c r="D35" s="109"/>
      <c r="E35" s="109"/>
    </row>
    <row r="36" spans="1:5" ht="12.75">
      <c r="A36" s="93"/>
      <c r="B36" s="93"/>
      <c r="C36" s="109"/>
      <c r="D36" s="109"/>
      <c r="E36" s="109"/>
    </row>
    <row r="37" spans="1:5" ht="12.75">
      <c r="A37" s="93"/>
      <c r="B37" s="93"/>
      <c r="C37" s="193"/>
      <c r="D37" s="193"/>
      <c r="E37" s="193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8">
      <selection activeCell="F22" sqref="F22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188</v>
      </c>
      <c r="G1" s="389" t="s">
        <v>776</v>
      </c>
    </row>
    <row r="3" spans="2:7" ht="12.75">
      <c r="B3" s="17" t="s">
        <v>226</v>
      </c>
      <c r="C3" s="17" t="s">
        <v>751</v>
      </c>
      <c r="D3" s="17" t="s">
        <v>750</v>
      </c>
      <c r="E3" s="17" t="s">
        <v>756</v>
      </c>
      <c r="F3" s="337" t="s">
        <v>227</v>
      </c>
      <c r="G3" s="339"/>
    </row>
    <row r="4" spans="2:7" ht="38.25">
      <c r="B4" s="24" t="s">
        <v>23</v>
      </c>
      <c r="C4" s="25">
        <f>'Calc-Net capex'!$D$6</f>
        <v>0.26793222162201646</v>
      </c>
      <c r="D4" s="25">
        <f>'Calc-Net capex'!$D$7</f>
        <v>0.37887665355305283</v>
      </c>
      <c r="E4" s="77">
        <f>'Calc-Net capex'!$D$8+'Calc-Net capex'!$D$9</f>
        <v>0.35319112482493065</v>
      </c>
      <c r="F4" s="82" t="s">
        <v>211</v>
      </c>
      <c r="G4" s="338"/>
    </row>
    <row r="5" spans="2:7" ht="12.75">
      <c r="B5" s="24" t="s">
        <v>73</v>
      </c>
      <c r="C5" s="28">
        <v>1</v>
      </c>
      <c r="D5" s="28">
        <v>0</v>
      </c>
      <c r="E5" s="78">
        <v>0</v>
      </c>
      <c r="F5" s="83" t="s">
        <v>231</v>
      </c>
      <c r="G5" s="83"/>
    </row>
    <row r="6" spans="2:7" ht="12.75">
      <c r="B6" s="24" t="s">
        <v>117</v>
      </c>
      <c r="C6" s="26">
        <f>'RRP 5.1'!$G$64/'RRP 5.1'!$G$65</f>
        <v>0.4274797758957998</v>
      </c>
      <c r="D6" s="26">
        <f>'RRP 5.1'!$G$63/'RRP 5.1'!$G$65</f>
        <v>0.4651311665535936</v>
      </c>
      <c r="E6" s="79">
        <f>('RRP 5.1'!$G$61+'RRP 5.1'!$G$62)/'RRP 5.1'!$G$65</f>
        <v>0.10738905755060671</v>
      </c>
      <c r="F6" s="83" t="s">
        <v>228</v>
      </c>
      <c r="G6" s="83"/>
    </row>
    <row r="7" spans="2:7" ht="12.75">
      <c r="B7" s="24" t="s">
        <v>110</v>
      </c>
      <c r="C7" s="26">
        <f>0/'RRP 5.1'!$G$73</f>
        <v>0</v>
      </c>
      <c r="D7" s="26">
        <f>('RRP 5.1'!$G$71+'RRP 5.1'!$G$72)/'RRP 5.1'!$G$73</f>
        <v>0.9926003600894288</v>
      </c>
      <c r="E7" s="79">
        <f>('RRP 5.1'!$G$68+'RRP 5.1'!$G$69+'RRP 5.1'!$G$70)/'RRP 5.1'!$G$73</f>
        <v>0.007399639910571197</v>
      </c>
      <c r="F7" s="83" t="s">
        <v>228</v>
      </c>
      <c r="G7" s="83"/>
    </row>
    <row r="8" spans="2:7" ht="25.5">
      <c r="B8" s="24" t="s">
        <v>119</v>
      </c>
      <c r="C8" s="26">
        <v>0</v>
      </c>
      <c r="D8" s="26">
        <v>0</v>
      </c>
      <c r="E8" s="79">
        <v>1</v>
      </c>
      <c r="F8" s="83" t="s">
        <v>231</v>
      </c>
      <c r="G8" s="83"/>
    </row>
    <row r="9" spans="2:7" ht="25.5">
      <c r="B9" s="24" t="s">
        <v>232</v>
      </c>
      <c r="C9" s="26">
        <f>'Calc-MEAV'!D6</f>
        <v>0.4516659551029927</v>
      </c>
      <c r="D9" s="26">
        <f>'Calc-MEAV'!D7</f>
        <v>0.3287231188218951</v>
      </c>
      <c r="E9" s="79">
        <f>'Calc-MEAV'!D8+'Calc-MEAV'!D9</f>
        <v>0.2196109260751124</v>
      </c>
      <c r="F9" s="338" t="s">
        <v>101</v>
      </c>
      <c r="G9" s="338"/>
    </row>
    <row r="10" spans="2:7" ht="12.75">
      <c r="B10" s="24" t="s">
        <v>365</v>
      </c>
      <c r="C10" s="26">
        <v>0</v>
      </c>
      <c r="D10" s="26">
        <v>0</v>
      </c>
      <c r="E10" s="79">
        <v>1</v>
      </c>
      <c r="F10" s="83" t="s">
        <v>231</v>
      </c>
      <c r="G10" s="83"/>
    </row>
    <row r="11" spans="2:7" ht="12.75">
      <c r="B11" s="24" t="s">
        <v>169</v>
      </c>
      <c r="C11" s="26">
        <v>1</v>
      </c>
      <c r="D11" s="26">
        <v>0</v>
      </c>
      <c r="E11" s="79">
        <v>0</v>
      </c>
      <c r="F11" s="83" t="s">
        <v>231</v>
      </c>
      <c r="G11" s="83"/>
    </row>
    <row r="12" spans="2:7" ht="12.75">
      <c r="B12" s="27" t="s">
        <v>170</v>
      </c>
      <c r="C12" s="29">
        <v>0</v>
      </c>
      <c r="D12" s="29">
        <v>1</v>
      </c>
      <c r="E12" s="80">
        <v>0</v>
      </c>
      <c r="F12" s="311" t="s">
        <v>231</v>
      </c>
      <c r="G12" s="83"/>
    </row>
    <row r="14" s="10" customFormat="1" ht="12.75">
      <c r="A14" s="10" t="s">
        <v>206</v>
      </c>
    </row>
    <row r="16" spans="2:8" ht="12.75">
      <c r="B16" s="17" t="s">
        <v>226</v>
      </c>
      <c r="C16" s="17" t="s">
        <v>751</v>
      </c>
      <c r="D16" s="17" t="s">
        <v>27</v>
      </c>
      <c r="E16" s="17" t="s">
        <v>750</v>
      </c>
      <c r="F16" s="17" t="s">
        <v>756</v>
      </c>
      <c r="G16" s="81" t="s">
        <v>227</v>
      </c>
      <c r="H16" s="339"/>
    </row>
    <row r="17" spans="2:8" ht="54" customHeight="1">
      <c r="B17" s="24" t="s">
        <v>23</v>
      </c>
      <c r="C17" s="25">
        <f>'Calc-Net capex'!H6</f>
        <v>0.26793222162201646</v>
      </c>
      <c r="D17" s="25">
        <f>'Calc-Net capex'!H7</f>
        <v>0.07934970205767705</v>
      </c>
      <c r="E17" s="25">
        <f>'Calc-Net capex'!H8</f>
        <v>0.2995269514953759</v>
      </c>
      <c r="F17" s="77">
        <f>'Calc-Net capex'!$D$8+'Calc-Net capex'!$D$9</f>
        <v>0.35319112482493065</v>
      </c>
      <c r="G17" s="82" t="s">
        <v>211</v>
      </c>
      <c r="H17" s="338"/>
    </row>
    <row r="18" spans="2:8" ht="12.75">
      <c r="B18" s="24" t="s">
        <v>118</v>
      </c>
      <c r="C18" s="28">
        <v>1</v>
      </c>
      <c r="D18" s="28">
        <v>0</v>
      </c>
      <c r="E18" s="28">
        <v>0</v>
      </c>
      <c r="F18" s="78">
        <v>0</v>
      </c>
      <c r="G18" s="83" t="s">
        <v>231</v>
      </c>
      <c r="H18" s="83"/>
    </row>
    <row r="19" spans="2:8" ht="12.75">
      <c r="B19" s="24" t="s">
        <v>117</v>
      </c>
      <c r="C19" s="26">
        <f>'RRP 5.1'!$G$64/'RRP 5.1'!$G$65</f>
        <v>0.4274797758957998</v>
      </c>
      <c r="D19" s="26">
        <v>0</v>
      </c>
      <c r="E19" s="26">
        <f>'RRP 5.1'!$G$63/'RRP 5.1'!$G$65</f>
        <v>0.4651311665535936</v>
      </c>
      <c r="F19" s="79">
        <f>('RRP 5.1'!$G$61+'RRP 5.1'!$G$62)/'RRP 5.1'!$G$65</f>
        <v>0.10738905755060671</v>
      </c>
      <c r="G19" s="83" t="s">
        <v>228</v>
      </c>
      <c r="H19" s="83"/>
    </row>
    <row r="20" spans="2:8" ht="12.75">
      <c r="B20" s="24" t="s">
        <v>116</v>
      </c>
      <c r="C20" s="26">
        <f>0/'RRP 5.1'!$G$73</f>
        <v>0</v>
      </c>
      <c r="D20" s="26">
        <v>0</v>
      </c>
      <c r="E20" s="26">
        <f>('RRP 5.1'!$G$71+'RRP 5.1'!$G$72)/'RRP 5.1'!$G$73</f>
        <v>0.9926003600894288</v>
      </c>
      <c r="F20" s="79">
        <f>('RRP 5.1'!$G$68+'RRP 5.1'!$G$69+'RRP 5.1'!$G$70)/'RRP 5.1'!$G$73</f>
        <v>0.007399639910571197</v>
      </c>
      <c r="G20" s="83" t="s">
        <v>228</v>
      </c>
      <c r="H20" s="83"/>
    </row>
    <row r="21" spans="2:8" ht="25.5">
      <c r="B21" s="24" t="s">
        <v>119</v>
      </c>
      <c r="C21" s="26">
        <v>0</v>
      </c>
      <c r="D21" s="26">
        <v>0</v>
      </c>
      <c r="E21" s="26">
        <v>0</v>
      </c>
      <c r="F21" s="79">
        <v>1</v>
      </c>
      <c r="G21" s="83" t="s">
        <v>231</v>
      </c>
      <c r="H21" s="83"/>
    </row>
    <row r="22" spans="2:8" ht="59.25" customHeight="1">
      <c r="B22" s="24" t="s">
        <v>232</v>
      </c>
      <c r="C22" s="86">
        <f>'Calc-MEAV'!H6</f>
        <v>0.4516659551029927</v>
      </c>
      <c r="D22" s="86">
        <f>'Calc-MEAV'!H7</f>
        <v>0.07187951420551468</v>
      </c>
      <c r="E22" s="86">
        <f>'Calc-MEAV'!H8</f>
        <v>0.25684360461638045</v>
      </c>
      <c r="F22" s="86">
        <f>'Calc-MEAV'!H9+'Calc-MEAV'!H10</f>
        <v>0.2196109260751124</v>
      </c>
      <c r="G22" s="85" t="s">
        <v>101</v>
      </c>
      <c r="H22" s="338"/>
    </row>
    <row r="23" spans="2:8" ht="55.5" customHeight="1">
      <c r="B23" s="24" t="s">
        <v>77</v>
      </c>
      <c r="C23" s="86">
        <f>'Calc-MEAV'!L6</f>
        <v>0.34712060793931</v>
      </c>
      <c r="D23" s="86">
        <f>'Calc-MEAV'!L7</f>
        <v>0.10838324773482338</v>
      </c>
      <c r="E23" s="86">
        <f>'Calc-MEAV'!L8</f>
        <v>0.283014207830869</v>
      </c>
      <c r="F23" s="86">
        <f>'Calc-MEAV'!L9+'Calc-MEAV'!L10</f>
        <v>0.2614819364949977</v>
      </c>
      <c r="G23" s="85" t="s">
        <v>101</v>
      </c>
      <c r="H23" s="83"/>
    </row>
    <row r="24" spans="2:8" ht="58.5" customHeight="1">
      <c r="B24" s="24" t="s">
        <v>33</v>
      </c>
      <c r="C24" s="86">
        <f>'Calc-MEAV'!Q3</f>
        <v>0</v>
      </c>
      <c r="D24" s="86">
        <f>'Calc-MEAV'!Q4</f>
        <v>0</v>
      </c>
      <c r="E24" s="86" t="str">
        <f>'Calc-MEAV'!Q5</f>
        <v>% of Total</v>
      </c>
      <c r="F24" s="86">
        <f>'Calc-MEAV'!Q6+'Calc-MEAV'!Q7</f>
        <v>0.341154415813693</v>
      </c>
      <c r="G24" s="85" t="s">
        <v>101</v>
      </c>
      <c r="H24" s="83"/>
    </row>
    <row r="25" spans="2:8" ht="12.75">
      <c r="B25" s="24" t="s">
        <v>365</v>
      </c>
      <c r="C25" s="86">
        <v>0</v>
      </c>
      <c r="D25" s="86">
        <v>0</v>
      </c>
      <c r="E25" s="86">
        <v>0</v>
      </c>
      <c r="F25" s="86">
        <v>1</v>
      </c>
      <c r="G25" s="83" t="s">
        <v>231</v>
      </c>
      <c r="H25" s="83"/>
    </row>
    <row r="26" spans="2:8" ht="12.75">
      <c r="B26" s="24" t="s">
        <v>169</v>
      </c>
      <c r="C26" s="86">
        <v>1</v>
      </c>
      <c r="D26" s="86">
        <v>0</v>
      </c>
      <c r="E26" s="86">
        <v>0</v>
      </c>
      <c r="F26" s="86">
        <v>0</v>
      </c>
      <c r="G26" s="83" t="s">
        <v>231</v>
      </c>
      <c r="H26" s="339"/>
    </row>
    <row r="27" spans="2:8" ht="12.75">
      <c r="B27" s="27" t="s">
        <v>170</v>
      </c>
      <c r="C27" s="87">
        <v>0</v>
      </c>
      <c r="D27" s="87">
        <v>0</v>
      </c>
      <c r="E27" s="87">
        <v>1</v>
      </c>
      <c r="F27" s="87">
        <v>0</v>
      </c>
      <c r="G27" s="159" t="s">
        <v>231</v>
      </c>
      <c r="H27" s="338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D1">
      <selection activeCell="L28" sqref="L28:M32"/>
    </sheetView>
  </sheetViews>
  <sheetFormatPr defaultColWidth="11.42187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11.42187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93</v>
      </c>
      <c r="F1" s="389" t="s">
        <v>776</v>
      </c>
    </row>
    <row r="2" spans="10:15" ht="12.75">
      <c r="J2"/>
      <c r="K2"/>
      <c r="L2"/>
      <c r="M2"/>
      <c r="N2"/>
      <c r="O2"/>
    </row>
    <row r="3" spans="2:17" ht="26.25" customHeight="1">
      <c r="B3" s="1461" t="s">
        <v>51</v>
      </c>
      <c r="C3" s="1462"/>
      <c r="D3" s="1463"/>
      <c r="F3" s="1461" t="s">
        <v>26</v>
      </c>
      <c r="G3" s="1462"/>
      <c r="H3" s="1463"/>
      <c r="J3" s="1461" t="s">
        <v>204</v>
      </c>
      <c r="K3" s="1462"/>
      <c r="L3" s="1463"/>
      <c r="M3"/>
      <c r="N3"/>
      <c r="O3" s="1461" t="s">
        <v>205</v>
      </c>
      <c r="P3" s="1462"/>
      <c r="Q3" s="1463"/>
    </row>
    <row r="4" spans="2:17" ht="27.75" customHeight="1">
      <c r="B4" s="1464" t="s">
        <v>187</v>
      </c>
      <c r="C4" s="1465"/>
      <c r="D4" s="1466"/>
      <c r="F4" s="1467" t="s">
        <v>780</v>
      </c>
      <c r="G4" s="1465"/>
      <c r="H4" s="1466"/>
      <c r="J4" s="1464" t="s">
        <v>187</v>
      </c>
      <c r="K4" s="1465"/>
      <c r="L4" s="1466"/>
      <c r="M4"/>
      <c r="N4"/>
      <c r="O4" s="1464" t="s">
        <v>187</v>
      </c>
      <c r="P4" s="1465"/>
      <c r="Q4" s="1466"/>
    </row>
    <row r="5" spans="2:17" ht="12.75">
      <c r="B5" s="11"/>
      <c r="C5" s="12" t="s">
        <v>593</v>
      </c>
      <c r="D5" s="40" t="s">
        <v>22</v>
      </c>
      <c r="F5" s="11"/>
      <c r="G5" s="12" t="s">
        <v>593</v>
      </c>
      <c r="H5" s="40" t="s">
        <v>22</v>
      </c>
      <c r="J5" s="11"/>
      <c r="K5" s="12" t="s">
        <v>593</v>
      </c>
      <c r="L5" s="40" t="s">
        <v>22</v>
      </c>
      <c r="M5"/>
      <c r="N5"/>
      <c r="O5" s="11"/>
      <c r="P5" s="12" t="s">
        <v>593</v>
      </c>
      <c r="Q5" s="40" t="s">
        <v>22</v>
      </c>
    </row>
    <row r="6" spans="2:17" ht="12.75">
      <c r="B6" s="6" t="s">
        <v>751</v>
      </c>
      <c r="C6" s="70">
        <f>SUM(I20:I39)</f>
        <v>2542417.25892</v>
      </c>
      <c r="D6" s="15">
        <f>C6/$C$10</f>
        <v>0.4516659551029927</v>
      </c>
      <c r="F6" s="6" t="s">
        <v>751</v>
      </c>
      <c r="G6" s="70">
        <f>SUM(I20:I39)</f>
        <v>2542417.25892</v>
      </c>
      <c r="H6" s="836">
        <f>G6/$G$11</f>
        <v>0.4516659551029927</v>
      </c>
      <c r="J6" s="6" t="s">
        <v>751</v>
      </c>
      <c r="K6" s="70">
        <f>SUM(I20:I39)-I21-I30</f>
        <v>1641051.1589199998</v>
      </c>
      <c r="L6" s="15">
        <f>K6/$K$11</f>
        <v>0.34712060793931</v>
      </c>
      <c r="M6"/>
      <c r="N6"/>
      <c r="O6" s="6" t="s">
        <v>751</v>
      </c>
      <c r="P6" s="70">
        <f>(SUM(I20:I39)-I21-I30)*0.5</f>
        <v>820525.5794599999</v>
      </c>
      <c r="Q6" s="15">
        <f>P6/P$11</f>
        <v>0.21000964111879042</v>
      </c>
    </row>
    <row r="7" spans="2:17" ht="12.75">
      <c r="B7" s="6" t="s">
        <v>750</v>
      </c>
      <c r="C7" s="71">
        <f>SUM(I42:I79)+SUM(I158:I163)+SUM(I153:I154)</f>
        <v>1850374.8649999998</v>
      </c>
      <c r="D7" s="14">
        <f>C7/$C$10</f>
        <v>0.3287231188218951</v>
      </c>
      <c r="F7" s="6" t="s">
        <v>27</v>
      </c>
      <c r="G7" s="71">
        <f>SUM(I62:I63)+SUM(I69:I70)+SUM(I75:I78)</f>
        <v>404608.13</v>
      </c>
      <c r="H7" s="837">
        <f>G7/$G$11</f>
        <v>0.07187951420551468</v>
      </c>
      <c r="J7" s="6" t="s">
        <v>27</v>
      </c>
      <c r="K7" s="71">
        <f>SUM(I59:I72)+SUM(I75:I78)</f>
        <v>512393.81999999995</v>
      </c>
      <c r="L7" s="14">
        <f>K7/$K$11</f>
        <v>0.10838324773482338</v>
      </c>
      <c r="M7"/>
      <c r="N7"/>
      <c r="O7" s="6" t="s">
        <v>27</v>
      </c>
      <c r="P7" s="71">
        <f>SUM(I59:I72)+SUM(I75:I78)</f>
        <v>512393.81999999995</v>
      </c>
      <c r="Q7" s="14">
        <f>P7/P$11</f>
        <v>0.1311447746949026</v>
      </c>
    </row>
    <row r="8" spans="2:17" ht="12.75">
      <c r="B8" s="6" t="s">
        <v>756</v>
      </c>
      <c r="C8" s="71">
        <f>SUM(I81:I120)+SUM(I149:I150)</f>
        <v>605549.192</v>
      </c>
      <c r="D8" s="14">
        <f>C8/$C$10</f>
        <v>0.10757713086116667</v>
      </c>
      <c r="F8" s="6" t="s">
        <v>750</v>
      </c>
      <c r="G8" s="71">
        <f>SUM(I42:I56)+SUM(I59:I61)+SUM(I64:I68)+SUM(I71:I72)+SUM(I158:I163)+SUM(I153:I154)</f>
        <v>1445766.7349999999</v>
      </c>
      <c r="H8" s="837">
        <f>G8/$G$11</f>
        <v>0.25684360461638045</v>
      </c>
      <c r="J8" s="6" t="s">
        <v>750</v>
      </c>
      <c r="K8" s="71">
        <f>SUM(I42:I56)+SUM(I158:I163)+SUM(I153:I154)</f>
        <v>1337981.045</v>
      </c>
      <c r="L8" s="14">
        <f>K8/$K$11</f>
        <v>0.283014207830869</v>
      </c>
      <c r="M8"/>
      <c r="N8"/>
      <c r="O8" s="6" t="s">
        <v>750</v>
      </c>
      <c r="P8" s="71">
        <f>SUM(I42:I56)+SUM(I158:I163)+SUM(I153:I154)</f>
        <v>1337981.045</v>
      </c>
      <c r="Q8" s="14">
        <f>P8/P$11</f>
        <v>0.3424499200489486</v>
      </c>
    </row>
    <row r="9" spans="2:17" ht="12.75">
      <c r="B9" s="7" t="s">
        <v>245</v>
      </c>
      <c r="C9" s="72">
        <f>SUM(I121:I146)</f>
        <v>630635.653</v>
      </c>
      <c r="D9" s="16">
        <f>C9/$C$10</f>
        <v>0.11203379521394571</v>
      </c>
      <c r="E9" s="30" t="s">
        <v>339</v>
      </c>
      <c r="F9" s="6" t="s">
        <v>756</v>
      </c>
      <c r="G9" s="71">
        <f>SUM(I81:I120)+SUM(I149:I150)</f>
        <v>605549.192</v>
      </c>
      <c r="H9" s="837">
        <f>G9/$G$11</f>
        <v>0.10757713086116667</v>
      </c>
      <c r="I9" s="30"/>
      <c r="J9" s="6" t="s">
        <v>756</v>
      </c>
      <c r="K9" s="71">
        <f>SUM(I81:I120)+SUM(I149:I150)</f>
        <v>605549.192</v>
      </c>
      <c r="L9" s="14">
        <f>K9/$K$11</f>
        <v>0.12808778234709806</v>
      </c>
      <c r="M9"/>
      <c r="N9"/>
      <c r="O9" s="6" t="s">
        <v>756</v>
      </c>
      <c r="P9" s="71">
        <f>SUM(I81:I120)+SUM(I149:I150)</f>
        <v>605549.192</v>
      </c>
      <c r="Q9" s="14">
        <f>P9/P$11</f>
        <v>0.15498745154951385</v>
      </c>
    </row>
    <row r="10" spans="2:18" ht="12.75">
      <c r="B10" s="69" t="s">
        <v>757</v>
      </c>
      <c r="C10" s="73">
        <f>SUM(C6:C9)</f>
        <v>5628976.968919999</v>
      </c>
      <c r="D10" s="74">
        <f>SUM(D6:D9)</f>
        <v>1.0000000000000002</v>
      </c>
      <c r="E10" t="str">
        <f>IF(C10=$I$164,"OK","error")</f>
        <v>OK</v>
      </c>
      <c r="F10" s="7" t="s">
        <v>245</v>
      </c>
      <c r="G10" s="72">
        <f>SUM(I121:I146)</f>
        <v>630635.653</v>
      </c>
      <c r="H10" s="838">
        <f>G10/$G$11</f>
        <v>0.11203379521394571</v>
      </c>
      <c r="I10" s="30" t="s">
        <v>339</v>
      </c>
      <c r="J10" s="7" t="s">
        <v>245</v>
      </c>
      <c r="K10" s="72">
        <f>SUM(I121:I146)</f>
        <v>630635.653</v>
      </c>
      <c r="L10" s="16">
        <f>K10/$K$11</f>
        <v>0.13339415414789962</v>
      </c>
      <c r="M10" s="30" t="s">
        <v>339</v>
      </c>
      <c r="N10"/>
      <c r="O10" s="7" t="s">
        <v>245</v>
      </c>
      <c r="P10" s="72">
        <f>SUM(I121:I146)</f>
        <v>630635.653</v>
      </c>
      <c r="Q10" s="16">
        <f>P10/P$11</f>
        <v>0.16140821258784463</v>
      </c>
      <c r="R10" s="30" t="s">
        <v>339</v>
      </c>
    </row>
    <row r="11" spans="2:18" ht="12.75">
      <c r="B11" s="75"/>
      <c r="C11" s="67"/>
      <c r="D11" s="68"/>
      <c r="F11" s="69" t="s">
        <v>757</v>
      </c>
      <c r="G11" s="73">
        <f>SUM(G6:G10)</f>
        <v>5628976.968919999</v>
      </c>
      <c r="H11" s="74">
        <f>SUM(H6:H10)</f>
        <v>1.0000000000000002</v>
      </c>
      <c r="I11" t="str">
        <f>IF(G11=$I$164,"OK","error")</f>
        <v>OK</v>
      </c>
      <c r="J11" s="69" t="s">
        <v>757</v>
      </c>
      <c r="K11" s="73">
        <f>SUM(K6:K10)</f>
        <v>4727610.868919999</v>
      </c>
      <c r="L11" s="74">
        <f>SUM(L6:L10)</f>
        <v>1</v>
      </c>
      <c r="M11" t="str">
        <f>IF(K11=($I$164-I21-I30),"OK","error")</f>
        <v>OK</v>
      </c>
      <c r="N11"/>
      <c r="O11" s="69" t="s">
        <v>757</v>
      </c>
      <c r="P11" s="73">
        <f>SUM(P6:P10)</f>
        <v>3907085.2894599997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5"/>
      <c r="C12" s="67"/>
      <c r="D12" s="68"/>
      <c r="J12"/>
      <c r="K12"/>
      <c r="L12"/>
      <c r="M12"/>
      <c r="N12"/>
      <c r="O12"/>
    </row>
    <row r="13" spans="2:15" ht="12.75">
      <c r="B13" s="8"/>
      <c r="C13" s="67"/>
      <c r="D13" s="68"/>
      <c r="J13"/>
      <c r="K13"/>
      <c r="L13"/>
      <c r="M13"/>
      <c r="N13"/>
      <c r="O13"/>
    </row>
    <row r="14" s="3" customFormat="1" ht="12" customHeight="1">
      <c r="A14" s="10" t="s">
        <v>318</v>
      </c>
    </row>
    <row r="16" spans="1:15" s="31" customFormat="1" ht="25.5">
      <c r="A16" s="42"/>
      <c r="B16" s="32"/>
      <c r="C16" s="43" t="s">
        <v>360</v>
      </c>
      <c r="D16" s="42" t="s">
        <v>741</v>
      </c>
      <c r="E16" s="44" t="s">
        <v>565</v>
      </c>
      <c r="F16" s="44"/>
      <c r="G16" s="44" t="s">
        <v>319</v>
      </c>
      <c r="H16" s="44" t="s">
        <v>434</v>
      </c>
      <c r="I16" s="44" t="s">
        <v>92</v>
      </c>
      <c r="J16"/>
      <c r="K16" s="47"/>
      <c r="L16" s="47"/>
      <c r="M16" s="47"/>
      <c r="N16" s="52"/>
      <c r="O16" s="53"/>
    </row>
    <row r="17" spans="1:15" ht="51">
      <c r="A17" s="5"/>
      <c r="B17" s="21"/>
      <c r="C17" s="33"/>
      <c r="D17" s="5"/>
      <c r="E17" s="41" t="s">
        <v>167</v>
      </c>
      <c r="F17" s="41" t="s">
        <v>777</v>
      </c>
      <c r="G17" s="41" t="s">
        <v>70</v>
      </c>
      <c r="H17" s="41" t="s">
        <v>564</v>
      </c>
      <c r="I17" s="66" t="s">
        <v>443</v>
      </c>
      <c r="J17" t="s">
        <v>658</v>
      </c>
      <c r="K17" s="47"/>
      <c r="L17" s="47"/>
      <c r="M17" s="47"/>
      <c r="N17" s="47"/>
      <c r="O17" s="54"/>
    </row>
    <row r="18" spans="1:15" ht="12.75">
      <c r="A18" s="5" t="s">
        <v>208</v>
      </c>
      <c r="B18" s="21"/>
      <c r="C18" s="33"/>
      <c r="D18" s="5"/>
      <c r="E18" s="5"/>
      <c r="F18" s="33"/>
      <c r="G18" s="33"/>
      <c r="H18" s="33"/>
      <c r="I18" s="33"/>
      <c r="J18"/>
      <c r="K18" s="48"/>
      <c r="L18" t="s">
        <v>751</v>
      </c>
      <c r="M18" s="1237">
        <f>SUMIF(J:J,L18,I:I)</f>
        <v>2542417.25892</v>
      </c>
      <c r="N18" s="1238">
        <f>M18/M$25</f>
        <v>0.4516659551029925</v>
      </c>
      <c r="O18" s="56"/>
    </row>
    <row r="19" spans="1:15" ht="12.75">
      <c r="A19" s="39"/>
      <c r="B19" s="34" t="s">
        <v>644</v>
      </c>
      <c r="C19" s="35"/>
      <c r="D19" s="39"/>
      <c r="E19" s="39"/>
      <c r="F19" s="35"/>
      <c r="G19" s="35"/>
      <c r="H19" s="35"/>
      <c r="I19" s="35"/>
      <c r="J19" t="s">
        <v>751</v>
      </c>
      <c r="K19" s="49"/>
      <c r="L19" t="s">
        <v>25</v>
      </c>
      <c r="M19" s="1237">
        <f aca="true" t="shared" si="0" ref="M19:M24">SUMIF(J$1:J$65536,L19,I$1:I$65536)</f>
        <v>404608.13</v>
      </c>
      <c r="N19" s="1238">
        <f aca="true" t="shared" si="1" ref="N19:N25">M19/M$25</f>
        <v>0.07187951420551465</v>
      </c>
      <c r="O19" s="57"/>
    </row>
    <row r="20" spans="1:15" ht="12.75">
      <c r="A20" s="39"/>
      <c r="B20" s="34"/>
      <c r="C20" s="35" t="s">
        <v>209</v>
      </c>
      <c r="D20" s="39" t="s">
        <v>634</v>
      </c>
      <c r="E20" s="6">
        <f>IF(ISNUMBER('FBPQ C2'!J12),'FBPQ C2'!J12,IF(ISNUMBER('FBPQ C2'!I12),'FBPQ C2'!I12,""))</f>
        <v>19.44</v>
      </c>
      <c r="F20" s="45" t="s">
        <v>779</v>
      </c>
      <c r="G20" s="45">
        <f aca="true" t="shared" si="2" ref="G20:G51">IF(ISNUMBER(E20),E20,IF(H20&gt;0,F20," "))</f>
        <v>19.44</v>
      </c>
      <c r="H20" s="35">
        <f>IF(ISBLANK('FBPQ T4'!E12)," ",'FBPQ T4'!AE12)</f>
        <v>7448</v>
      </c>
      <c r="I20" s="35">
        <f>IF(ISERROR(G20*H20)," ",G20*H20)</f>
        <v>144789.12</v>
      </c>
      <c r="J20" t="s">
        <v>751</v>
      </c>
      <c r="K20" s="49"/>
      <c r="L20" t="s">
        <v>750</v>
      </c>
      <c r="M20" s="1237">
        <f t="shared" si="0"/>
        <v>1338937.2449999999</v>
      </c>
      <c r="N20" s="1238">
        <f t="shared" si="1"/>
        <v>0.23786511339322355</v>
      </c>
      <c r="O20" s="57"/>
    </row>
    <row r="21" spans="1:15" ht="12.75">
      <c r="A21" s="39"/>
      <c r="B21" s="34"/>
      <c r="C21" s="35" t="s">
        <v>212</v>
      </c>
      <c r="D21" s="39" t="s">
        <v>607</v>
      </c>
      <c r="E21" s="6">
        <f>IF(ISNUMBER('FBPQ C2'!J13),'FBPQ C2'!J13,IF(ISNUMBER('FBPQ C2'!I13),'FBPQ C2'!I13,""))</f>
        <v>0.31</v>
      </c>
      <c r="F21" s="45" t="s">
        <v>779</v>
      </c>
      <c r="G21" s="45">
        <f t="shared" si="2"/>
        <v>0.31</v>
      </c>
      <c r="H21" s="35">
        <f>IF(ISBLANK('FBPQ T4'!E13)," ",'FBPQ T4'!AE13)</f>
        <v>442000</v>
      </c>
      <c r="I21" s="35">
        <f aca="true" t="shared" si="3" ref="I21:I84">IF(ISERROR(G21*H21)," ",G21*H21)</f>
        <v>137020</v>
      </c>
      <c r="J21" t="s">
        <v>751</v>
      </c>
      <c r="K21" s="49"/>
      <c r="L21" t="s">
        <v>760</v>
      </c>
      <c r="M21" s="1237">
        <f t="shared" si="0"/>
        <v>260183.24</v>
      </c>
      <c r="N21" s="1238">
        <f t="shared" si="1"/>
        <v>0.04622211841273883</v>
      </c>
      <c r="O21" s="59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2"/>
        <v>0</v>
      </c>
      <c r="H22" s="35" t="str">
        <f>IF(ISBLANK('FBPQ T4'!E14)," ",'FBPQ T4'!AE14)</f>
        <v> </v>
      </c>
      <c r="I22" s="35" t="str">
        <f t="shared" si="3"/>
        <v> </v>
      </c>
      <c r="J22" t="s">
        <v>751</v>
      </c>
      <c r="K22" s="49"/>
      <c r="L22" t="s">
        <v>756</v>
      </c>
      <c r="M22" s="1237">
        <f t="shared" si="0"/>
        <v>397467.87200000003</v>
      </c>
      <c r="N22" s="1238">
        <f t="shared" si="1"/>
        <v>0.07061103184372415</v>
      </c>
      <c r="O22" s="59"/>
    </row>
    <row r="23" spans="1:15" ht="12.75">
      <c r="A23" s="39"/>
      <c r="B23" s="34" t="s">
        <v>608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2"/>
        <v>0</v>
      </c>
      <c r="H23" s="35" t="str">
        <f>IF(ISBLANK('FBPQ T4'!E15)," ",'FBPQ T4'!AE15)</f>
        <v> </v>
      </c>
      <c r="I23" s="35" t="str">
        <f t="shared" si="3"/>
        <v> </v>
      </c>
      <c r="J23" t="s">
        <v>751</v>
      </c>
      <c r="K23" s="49"/>
      <c r="L23" t="s">
        <v>761</v>
      </c>
      <c r="M23" s="1237">
        <f t="shared" si="0"/>
        <v>161941.15</v>
      </c>
      <c r="N23" s="1238">
        <f t="shared" si="1"/>
        <v>0.02876919747480699</v>
      </c>
      <c r="O23" s="57"/>
    </row>
    <row r="24" spans="1:15" ht="12.75">
      <c r="A24" s="39"/>
      <c r="B24" s="34"/>
      <c r="C24" s="35" t="s">
        <v>473</v>
      </c>
      <c r="D24" s="39" t="s">
        <v>607</v>
      </c>
      <c r="E24" s="6">
        <f>IF(ISNUMBER('FBPQ C2'!J16),'FBPQ C2'!J16,IF(ISNUMBER('FBPQ C2'!I16),'FBPQ C2'!I16,""))</f>
        <v>1.88</v>
      </c>
      <c r="F24" s="45" t="s">
        <v>779</v>
      </c>
      <c r="G24" s="45">
        <f t="shared" si="2"/>
        <v>1.88</v>
      </c>
      <c r="H24" s="35">
        <f>IF(ISBLANK('FBPQ T4'!E16)," ",'FBPQ T4'!AE16)</f>
        <v>198165</v>
      </c>
      <c r="I24" s="35">
        <f t="shared" si="3"/>
        <v>372550.19999999995</v>
      </c>
      <c r="J24" t="s">
        <v>751</v>
      </c>
      <c r="K24" s="49"/>
      <c r="L24" t="s">
        <v>754</v>
      </c>
      <c r="M24" s="1237">
        <f t="shared" si="0"/>
        <v>523422.07300000003</v>
      </c>
      <c r="N24" s="1238">
        <f t="shared" si="1"/>
        <v>0.09298706956699913</v>
      </c>
      <c r="O24" s="59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2"/>
        <v>0</v>
      </c>
      <c r="H25" s="35" t="str">
        <f>IF(ISBLANK('FBPQ T4'!E17)," ",'FBPQ T4'!AE17)</f>
        <v> </v>
      </c>
      <c r="I25" s="35" t="str">
        <f t="shared" si="3"/>
        <v> </v>
      </c>
      <c r="J25" t="s">
        <v>751</v>
      </c>
      <c r="K25" s="49"/>
      <c r="L25" t="s">
        <v>659</v>
      </c>
      <c r="M25" s="1237">
        <f>SUM(M18:M24)</f>
        <v>5628976.968920001</v>
      </c>
      <c r="N25" s="1238">
        <f t="shared" si="1"/>
        <v>1</v>
      </c>
      <c r="O25" s="59"/>
    </row>
    <row r="26" spans="1:15" ht="12.75">
      <c r="A26" s="39"/>
      <c r="B26" s="34" t="s">
        <v>432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2"/>
        <v>0</v>
      </c>
      <c r="H26" s="35" t="str">
        <f>IF(ISBLANK('FBPQ T4'!E18)," ",'FBPQ T4'!AE18)</f>
        <v> </v>
      </c>
      <c r="I26" s="35" t="str">
        <f t="shared" si="3"/>
        <v> </v>
      </c>
      <c r="J26" t="s">
        <v>751</v>
      </c>
      <c r="K26" s="49"/>
      <c r="L26"/>
      <c r="M26" s="1237"/>
      <c r="N26" s="1238"/>
      <c r="O26" s="57"/>
    </row>
    <row r="27" spans="1:15" ht="12.75">
      <c r="A27" s="39"/>
      <c r="B27" s="34"/>
      <c r="C27" s="35" t="s">
        <v>378</v>
      </c>
      <c r="D27" s="39" t="s">
        <v>634</v>
      </c>
      <c r="E27" s="6">
        <f>IF(ISNUMBER('FBPQ C2'!J19),'FBPQ C2'!J19,IF(ISNUMBER('FBPQ C2'!I19),'FBPQ C2'!I19,""))</f>
        <v>75.86</v>
      </c>
      <c r="F27" s="45" t="s">
        <v>779</v>
      </c>
      <c r="G27" s="45">
        <f t="shared" si="2"/>
        <v>75.86</v>
      </c>
      <c r="H27" s="35">
        <f>IF(ISBLANK('FBPQ T4'!E19)," ",'FBPQ T4'!AE19)</f>
        <v>2727.822</v>
      </c>
      <c r="I27" s="35">
        <f t="shared" si="3"/>
        <v>206932.57692000002</v>
      </c>
      <c r="J27" t="s">
        <v>751</v>
      </c>
      <c r="K27" s="49"/>
      <c r="L27"/>
      <c r="M27" s="1237"/>
      <c r="N27" s="1238"/>
      <c r="O27" s="57"/>
    </row>
    <row r="28" spans="1:15" ht="12.75">
      <c r="A28" s="39"/>
      <c r="B28" s="34"/>
      <c r="C28" s="35" t="s">
        <v>220</v>
      </c>
      <c r="D28" s="39" t="s">
        <v>634</v>
      </c>
      <c r="E28" s="6">
        <f>IF(ISNUMBER('FBPQ C2'!J20),'FBPQ C2'!J20,IF(ISNUMBER('FBPQ C2'!I20),'FBPQ C2'!I20,""))</f>
        <v>67.22</v>
      </c>
      <c r="F28" s="45" t="s">
        <v>779</v>
      </c>
      <c r="G28" s="45">
        <f t="shared" si="2"/>
        <v>67.22</v>
      </c>
      <c r="H28" s="35">
        <f>IF(ISBLANK('FBPQ T4'!E20)," ",'FBPQ T4'!AE20)</f>
        <v>4957.2</v>
      </c>
      <c r="I28" s="35">
        <f t="shared" si="3"/>
        <v>333222.984</v>
      </c>
      <c r="J28" t="s">
        <v>751</v>
      </c>
      <c r="K28" s="49"/>
      <c r="L28" t="s">
        <v>760</v>
      </c>
      <c r="M28" s="1237">
        <f>M21</f>
        <v>260183.24</v>
      </c>
      <c r="N28" s="1238">
        <f>M28/M$32</f>
        <v>0.19373079886001365</v>
      </c>
      <c r="O28" s="57"/>
    </row>
    <row r="29" spans="1:15" ht="12.75">
      <c r="A29" s="39"/>
      <c r="B29" s="34"/>
      <c r="C29" s="35" t="s">
        <v>221</v>
      </c>
      <c r="D29" s="39" t="s">
        <v>634</v>
      </c>
      <c r="E29" s="6">
        <f>IF(ISNUMBER('FBPQ C2'!J21),'FBPQ C2'!J21,IF(ISNUMBER('FBPQ C2'!I21),'FBPQ C2'!I21,""))</f>
        <v>75.86</v>
      </c>
      <c r="F29" s="45" t="s">
        <v>779</v>
      </c>
      <c r="G29" s="45">
        <f t="shared" si="2"/>
        <v>75.86</v>
      </c>
      <c r="H29" s="35">
        <f>IF(ISBLANK('FBPQ T4'!E21)," ",'FBPQ T4'!AE21)</f>
        <v>6391.3</v>
      </c>
      <c r="I29" s="35">
        <f t="shared" si="3"/>
        <v>484844.018</v>
      </c>
      <c r="J29" t="s">
        <v>751</v>
      </c>
      <c r="K29" s="49"/>
      <c r="L29" t="s">
        <v>756</v>
      </c>
      <c r="M29" s="1237">
        <f>M22</f>
        <v>397467.87200000003</v>
      </c>
      <c r="N29" s="1238">
        <f>M29/M$32</f>
        <v>0.29595206964041826</v>
      </c>
      <c r="O29" s="57"/>
    </row>
    <row r="30" spans="1:15" ht="12.75">
      <c r="A30" s="39"/>
      <c r="B30" s="34"/>
      <c r="C30" s="35" t="s">
        <v>222</v>
      </c>
      <c r="D30" s="39" t="s">
        <v>607</v>
      </c>
      <c r="E30" s="6">
        <f>IF(ISNUMBER('FBPQ C2'!J22),'FBPQ C2'!J22,IF(ISNUMBER('FBPQ C2'!I22),'FBPQ C2'!I22,""))</f>
        <v>0.7</v>
      </c>
      <c r="F30" s="45" t="s">
        <v>779</v>
      </c>
      <c r="G30" s="45">
        <f t="shared" si="2"/>
        <v>0.7</v>
      </c>
      <c r="H30" s="35">
        <f>IF(ISBLANK('FBPQ T4'!E22)," ",'FBPQ T4'!AE22)</f>
        <v>1091923</v>
      </c>
      <c r="I30" s="35">
        <f t="shared" si="3"/>
        <v>764346.1</v>
      </c>
      <c r="J30" t="s">
        <v>751</v>
      </c>
      <c r="K30" s="49"/>
      <c r="L30" t="s">
        <v>761</v>
      </c>
      <c r="M30" s="1237">
        <f>M23</f>
        <v>161941.15</v>
      </c>
      <c r="N30" s="1238">
        <f>M30/M$32</f>
        <v>0.12058035851121425</v>
      </c>
      <c r="O30" s="59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2"/>
        <v>0</v>
      </c>
      <c r="H31" s="35" t="str">
        <f>IF(ISBLANK('FBPQ T4'!E23)," ",'FBPQ T4'!AE23)</f>
        <v> </v>
      </c>
      <c r="I31" s="35" t="str">
        <f t="shared" si="3"/>
        <v> </v>
      </c>
      <c r="J31" t="s">
        <v>751</v>
      </c>
      <c r="K31" s="49"/>
      <c r="L31" t="s">
        <v>754</v>
      </c>
      <c r="M31" s="1237">
        <f>M24</f>
        <v>523422.07300000003</v>
      </c>
      <c r="N31" s="1238">
        <f>M31/M$32</f>
        <v>0.38973677298835385</v>
      </c>
      <c r="O31" s="59"/>
    </row>
    <row r="32" spans="1:15" ht="12.75">
      <c r="A32" s="39"/>
      <c r="B32" s="34" t="s">
        <v>223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2"/>
        <v>0</v>
      </c>
      <c r="H32" s="35" t="str">
        <f>IF(ISBLANK('FBPQ T4'!E24)," ",'FBPQ T4'!AE24)</f>
        <v> </v>
      </c>
      <c r="I32" s="35" t="str">
        <f t="shared" si="3"/>
        <v> </v>
      </c>
      <c r="J32" t="s">
        <v>751</v>
      </c>
      <c r="K32" s="49"/>
      <c r="L32" t="s">
        <v>660</v>
      </c>
      <c r="M32" s="1237">
        <f>SUM(M28:M31)</f>
        <v>1343014.335</v>
      </c>
      <c r="N32" s="1238">
        <f>M32/M$32</f>
        <v>1</v>
      </c>
      <c r="O32" s="57"/>
    </row>
    <row r="33" spans="1:15" ht="12.75">
      <c r="A33" s="39"/>
      <c r="B33" s="34"/>
      <c r="C33" s="35" t="s">
        <v>224</v>
      </c>
      <c r="D33" s="39" t="s">
        <v>607</v>
      </c>
      <c r="E33" s="6">
        <f>IF(ISNUMBER('FBPQ C2'!J25),'FBPQ C2'!J25,IF(ISNUMBER('FBPQ C2'!I25),'FBPQ C2'!I25,""))</f>
        <v>7.94</v>
      </c>
      <c r="F33" s="45" t="s">
        <v>779</v>
      </c>
      <c r="G33" s="45">
        <f t="shared" si="2"/>
        <v>7.94</v>
      </c>
      <c r="H33" s="35">
        <f>IF(ISBLANK('FBPQ T4'!E25)," ",'FBPQ T4'!AE25)</f>
        <v>6864</v>
      </c>
      <c r="I33" s="35">
        <f t="shared" si="3"/>
        <v>54500.16</v>
      </c>
      <c r="J33" t="s">
        <v>751</v>
      </c>
      <c r="K33" s="49"/>
      <c r="L33" s="50"/>
      <c r="M33" s="49"/>
      <c r="N33" s="58"/>
      <c r="O33" s="57"/>
    </row>
    <row r="34" spans="1:15" ht="12.75">
      <c r="A34" s="39"/>
      <c r="B34" s="34"/>
      <c r="C34" s="35" t="s">
        <v>225</v>
      </c>
      <c r="D34" s="39" t="s">
        <v>607</v>
      </c>
      <c r="E34" s="6">
        <f>IF(ISNUMBER('FBPQ C2'!J26),'FBPQ C2'!J26,IF(ISNUMBER('FBPQ C2'!I26),'FBPQ C2'!I26,""))</f>
        <v>8.36</v>
      </c>
      <c r="F34" s="45" t="s">
        <v>779</v>
      </c>
      <c r="G34" s="45">
        <f t="shared" si="2"/>
        <v>8.36</v>
      </c>
      <c r="H34" s="35">
        <f>IF(ISBLANK('FBPQ T4'!E26)," ",'FBPQ T4'!AE26)</f>
        <v>3328</v>
      </c>
      <c r="I34" s="35">
        <f t="shared" si="3"/>
        <v>27822.079999999998</v>
      </c>
      <c r="J34" t="s">
        <v>751</v>
      </c>
      <c r="K34" s="49"/>
      <c r="L34" s="50"/>
      <c r="M34" s="49"/>
      <c r="N34" s="58"/>
      <c r="O34" s="57"/>
    </row>
    <row r="35" spans="1:15" ht="12.75">
      <c r="A35" s="39"/>
      <c r="B35" s="34"/>
      <c r="C35" s="35" t="s">
        <v>357</v>
      </c>
      <c r="D35" s="39" t="s">
        <v>607</v>
      </c>
      <c r="E35" s="6">
        <f>IF(ISNUMBER('FBPQ C2'!J27),'FBPQ C2'!J27,IF(ISNUMBER('FBPQ C2'!I27),'FBPQ C2'!I27,""))</f>
        <v>10.38</v>
      </c>
      <c r="F35" s="45" t="s">
        <v>779</v>
      </c>
      <c r="G35" s="45">
        <f t="shared" si="2"/>
        <v>10.38</v>
      </c>
      <c r="H35" s="35">
        <f>IF(ISBLANK('FBPQ T4'!E27)," ",'FBPQ T4'!AE27)</f>
        <v>1579</v>
      </c>
      <c r="I35" s="35">
        <f t="shared" si="3"/>
        <v>16390.02</v>
      </c>
      <c r="J35" t="s">
        <v>751</v>
      </c>
      <c r="K35" s="49"/>
      <c r="L35" s="50"/>
      <c r="M35" s="49"/>
      <c r="N35" s="58"/>
      <c r="O35" s="57"/>
    </row>
    <row r="36" spans="1:15" ht="12.75">
      <c r="A36" s="39"/>
      <c r="B36" s="34"/>
      <c r="C36" s="35" t="s">
        <v>358</v>
      </c>
      <c r="D36" s="39" t="s">
        <v>607</v>
      </c>
      <c r="E36" s="6">
        <f>IF(ISNUMBER('FBPQ C2'!J28),'FBPQ C2'!J28,IF(ISNUMBER('FBPQ C2'!I28),'FBPQ C2'!I28,""))</f>
      </c>
      <c r="F36" s="45" t="s">
        <v>779</v>
      </c>
      <c r="G36" s="45" t="str">
        <f t="shared" si="2"/>
        <v>DATA</v>
      </c>
      <c r="H36" s="35">
        <f>IF(ISBLANK('FBPQ T4'!E28)," ",'FBPQ T4'!AE28)</f>
        <v>11751</v>
      </c>
      <c r="I36" s="35" t="str">
        <f t="shared" si="3"/>
        <v> </v>
      </c>
      <c r="J36" t="s">
        <v>751</v>
      </c>
      <c r="K36" s="49"/>
      <c r="L36" s="50"/>
      <c r="M36" s="49"/>
      <c r="N36" s="58"/>
      <c r="O36" s="60"/>
    </row>
    <row r="37" spans="1:15" ht="12.75">
      <c r="A37" s="39"/>
      <c r="B37" s="34"/>
      <c r="C37" s="35" t="s">
        <v>479</v>
      </c>
      <c r="D37" s="39" t="s">
        <v>607</v>
      </c>
      <c r="E37" s="6">
        <f>IF(ISNUMBER('FBPQ C2'!J29),'FBPQ C2'!J29,IF(ISNUMBER('FBPQ C2'!I29),'FBPQ C2'!I29,""))</f>
      </c>
      <c r="F37" s="45" t="s">
        <v>779</v>
      </c>
      <c r="G37" s="45" t="str">
        <f t="shared" si="2"/>
        <v>DATA</v>
      </c>
      <c r="H37" s="35">
        <f>IF(ISBLANK('FBPQ T4'!E29)," ",'FBPQ T4'!AE29)</f>
        <v>37881</v>
      </c>
      <c r="I37" s="35" t="str">
        <f t="shared" si="3"/>
        <v> </v>
      </c>
      <c r="J37" t="s">
        <v>751</v>
      </c>
      <c r="K37" s="49"/>
      <c r="L37" s="50"/>
      <c r="M37" s="49"/>
      <c r="N37" s="58"/>
      <c r="O37" s="60"/>
    </row>
    <row r="38" spans="1:15" ht="12.75">
      <c r="A38" s="39"/>
      <c r="B38" s="34"/>
      <c r="C38" s="35" t="s">
        <v>480</v>
      </c>
      <c r="D38" s="39" t="s">
        <v>607</v>
      </c>
      <c r="E38" s="6">
        <f>IF(ISNUMBER('FBPQ C2'!J30),'FBPQ C2'!J30,IF(ISNUMBER('FBPQ C2'!I30),'FBPQ C2'!I30,""))</f>
      </c>
      <c r="F38" s="45" t="s">
        <v>779</v>
      </c>
      <c r="G38" s="45" t="str">
        <f t="shared" si="2"/>
        <v>DATA</v>
      </c>
      <c r="H38" s="35">
        <f>IF(ISBLANK('FBPQ T4'!E30)," ",'FBPQ T4'!AE30)</f>
        <v>858</v>
      </c>
      <c r="I38" s="35" t="str">
        <f t="shared" si="3"/>
        <v> </v>
      </c>
      <c r="J38" t="s">
        <v>751</v>
      </c>
      <c r="K38" s="49"/>
      <c r="L38" s="50"/>
      <c r="M38" s="49"/>
      <c r="N38" s="58"/>
      <c r="O38" s="59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2"/>
        <v>0</v>
      </c>
      <c r="H39" s="35" t="str">
        <f>IF(ISBLANK('FBPQ T4'!E31)," ",'FBPQ T4'!AE31)</f>
        <v> </v>
      </c>
      <c r="I39" s="35" t="str">
        <f t="shared" si="3"/>
        <v> </v>
      </c>
      <c r="J39" t="s">
        <v>751</v>
      </c>
      <c r="K39" s="61"/>
      <c r="L39" s="61"/>
      <c r="M39" s="61"/>
      <c r="N39" s="62"/>
      <c r="O39" s="59"/>
    </row>
    <row r="40" spans="1:15" ht="12.75">
      <c r="A40" s="39" t="s">
        <v>481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2"/>
        <v>0</v>
      </c>
      <c r="H40" s="35" t="str">
        <f>IF(ISBLANK('FBPQ T4'!E32)," ",'FBPQ T4'!AE32)</f>
        <v> </v>
      </c>
      <c r="I40" s="35" t="str">
        <f t="shared" si="3"/>
        <v> </v>
      </c>
      <c r="J40"/>
      <c r="K40" s="48"/>
      <c r="L40" s="48"/>
      <c r="M40" s="63"/>
      <c r="N40" s="58"/>
      <c r="O40" s="59"/>
    </row>
    <row r="41" spans="1:15" ht="12.75">
      <c r="A41" s="39"/>
      <c r="B41" s="34" t="s">
        <v>644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2"/>
        <v>0</v>
      </c>
      <c r="H41" s="35" t="str">
        <f>IF(ISBLANK('FBPQ T4'!E33)," ",'FBPQ T4'!AE33)</f>
        <v> </v>
      </c>
      <c r="I41" s="35" t="str">
        <f t="shared" si="3"/>
        <v> </v>
      </c>
      <c r="J41" t="s">
        <v>750</v>
      </c>
      <c r="K41" s="49"/>
      <c r="L41" s="50"/>
      <c r="M41" s="49"/>
      <c r="N41" s="58"/>
      <c r="O41" s="57"/>
    </row>
    <row r="42" spans="1:15" ht="12.75">
      <c r="A42" s="39"/>
      <c r="B42" s="34"/>
      <c r="C42" s="35" t="s">
        <v>482</v>
      </c>
      <c r="D42" s="39" t="s">
        <v>634</v>
      </c>
      <c r="E42" s="6">
        <f>IF(ISNUMBER('FBPQ C2'!J34),'FBPQ C2'!J34,IF(ISNUMBER('FBPQ C2'!I34),'FBPQ C2'!I34,""))</f>
        <v>20.78</v>
      </c>
      <c r="F42" s="45" t="s">
        <v>779</v>
      </c>
      <c r="G42" s="45">
        <f t="shared" si="2"/>
        <v>20.78</v>
      </c>
      <c r="H42" s="35">
        <f>IF(ISBLANK('FBPQ T4'!E34)," ",'FBPQ T4'!AE34)</f>
        <v>16591</v>
      </c>
      <c r="I42" s="35">
        <f t="shared" si="3"/>
        <v>344760.98000000004</v>
      </c>
      <c r="J42" t="s">
        <v>750</v>
      </c>
      <c r="K42" s="49"/>
      <c r="L42" s="50"/>
      <c r="M42" s="49"/>
      <c r="N42" s="58"/>
      <c r="O42" s="57"/>
    </row>
    <row r="43" spans="1:15" ht="12.75">
      <c r="A43" s="39"/>
      <c r="B43" s="34"/>
      <c r="C43" s="35" t="s">
        <v>483</v>
      </c>
      <c r="D43" s="39" t="s">
        <v>634</v>
      </c>
      <c r="E43" s="6">
        <f>IF(ISNUMBER('FBPQ C2'!J35),'FBPQ C2'!J35,IF(ISNUMBER('FBPQ C2'!I35),'FBPQ C2'!I35,""))</f>
      </c>
      <c r="F43" s="45" t="s">
        <v>779</v>
      </c>
      <c r="G43" s="45" t="str">
        <f t="shared" si="2"/>
        <v> </v>
      </c>
      <c r="H43" s="35">
        <f>IF(ISBLANK('FBPQ T4'!E35)," ",'FBPQ T4'!AE35)</f>
        <v>0</v>
      </c>
      <c r="I43" s="35" t="str">
        <f t="shared" si="3"/>
        <v> </v>
      </c>
      <c r="J43" t="s">
        <v>750</v>
      </c>
      <c r="K43" s="49"/>
      <c r="L43" s="50"/>
      <c r="M43" s="49"/>
      <c r="N43" s="58"/>
      <c r="O43" s="57"/>
    </row>
    <row r="44" spans="1:15" ht="12.75">
      <c r="A44" s="39"/>
      <c r="B44" s="34"/>
      <c r="C44" s="35" t="s">
        <v>484</v>
      </c>
      <c r="D44" s="39" t="s">
        <v>634</v>
      </c>
      <c r="E44" s="6">
        <f>IF(ISNUMBER('FBPQ C2'!J36),'FBPQ C2'!J36,IF(ISNUMBER('FBPQ C2'!I36),'FBPQ C2'!I36,""))</f>
      </c>
      <c r="F44" s="45" t="s">
        <v>779</v>
      </c>
      <c r="G44" s="45" t="str">
        <f t="shared" si="2"/>
        <v> </v>
      </c>
      <c r="H44" s="35">
        <f>IF(ISBLANK('FBPQ T4'!E36)," ",'FBPQ T4'!AE36)</f>
        <v>0</v>
      </c>
      <c r="I44" s="35" t="str">
        <f t="shared" si="3"/>
        <v> </v>
      </c>
      <c r="J44" t="s">
        <v>750</v>
      </c>
      <c r="K44" s="49"/>
      <c r="L44" s="49"/>
      <c r="M44" s="49"/>
      <c r="N44" s="58"/>
      <c r="O44" s="57"/>
    </row>
    <row r="45" spans="1:15" ht="12.75">
      <c r="A45" s="39"/>
      <c r="B45" s="34"/>
      <c r="C45" s="35" t="s">
        <v>369</v>
      </c>
      <c r="D45" s="39" t="s">
        <v>634</v>
      </c>
      <c r="E45" s="6">
        <f>IF(ISNUMBER('FBPQ C2'!J37),'FBPQ C2'!J37,IF(ISNUMBER('FBPQ C2'!I37),'FBPQ C2'!I37,""))</f>
      </c>
      <c r="F45" s="45" t="s">
        <v>779</v>
      </c>
      <c r="G45" s="45" t="str">
        <f t="shared" si="2"/>
        <v> </v>
      </c>
      <c r="H45" s="35">
        <f>IF(ISBLANK('FBPQ T4'!E37)," ",'FBPQ T4'!AE37)</f>
        <v>0</v>
      </c>
      <c r="I45" s="35" t="str">
        <f t="shared" si="3"/>
        <v> </v>
      </c>
      <c r="J45" t="s">
        <v>750</v>
      </c>
      <c r="K45" s="49"/>
      <c r="L45" s="49"/>
      <c r="M45" s="49"/>
      <c r="N45" s="58"/>
      <c r="O45" s="59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2"/>
        <v>0</v>
      </c>
      <c r="H46" s="35" t="str">
        <f>IF(ISBLANK('FBPQ T4'!E38)," ",'FBPQ T4'!AE38)</f>
        <v> </v>
      </c>
      <c r="I46" s="35" t="str">
        <f t="shared" si="3"/>
        <v> </v>
      </c>
      <c r="J46" t="s">
        <v>750</v>
      </c>
      <c r="K46" s="49"/>
      <c r="L46" s="49"/>
      <c r="M46" s="49"/>
      <c r="N46" s="58"/>
      <c r="O46" s="59"/>
    </row>
    <row r="47" spans="1:15" ht="12.75">
      <c r="A47" s="39"/>
      <c r="B47" s="34" t="s">
        <v>608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2"/>
        <v>0</v>
      </c>
      <c r="H47" s="35" t="str">
        <f>IF(ISBLANK('FBPQ T4'!E39)," ",'FBPQ T4'!AE39)</f>
        <v> </v>
      </c>
      <c r="I47" s="35" t="str">
        <f t="shared" si="3"/>
        <v> </v>
      </c>
      <c r="J47" t="s">
        <v>750</v>
      </c>
      <c r="K47" s="49"/>
      <c r="L47" s="50"/>
      <c r="M47" s="49"/>
      <c r="N47" s="58"/>
      <c r="O47" s="57"/>
    </row>
    <row r="48" spans="1:15" ht="12.75">
      <c r="A48" s="39"/>
      <c r="B48" s="34"/>
      <c r="C48" s="35" t="s">
        <v>502</v>
      </c>
      <c r="D48" s="39" t="s">
        <v>607</v>
      </c>
      <c r="E48" s="6">
        <f>IF(ISNUMBER('FBPQ C2'!J40),'FBPQ C2'!J40,IF(ISNUMBER('FBPQ C2'!I40),'FBPQ C2'!I40,""))</f>
        <v>2</v>
      </c>
      <c r="F48" s="45" t="s">
        <v>779</v>
      </c>
      <c r="G48" s="45">
        <f t="shared" si="2"/>
        <v>2</v>
      </c>
      <c r="H48" s="35">
        <f>IF(ISBLANK('FBPQ T4'!E40)," ",'FBPQ T4'!AE40)</f>
        <v>213168</v>
      </c>
      <c r="I48" s="35">
        <f t="shared" si="3"/>
        <v>426336</v>
      </c>
      <c r="J48" t="s">
        <v>750</v>
      </c>
      <c r="K48" s="49"/>
      <c r="L48" s="63"/>
      <c r="M48" s="49"/>
      <c r="N48" s="58"/>
      <c r="O48" s="57"/>
    </row>
    <row r="49" spans="1:15" ht="12.75">
      <c r="A49" s="39"/>
      <c r="B49" s="34"/>
      <c r="C49" s="35" t="s">
        <v>503</v>
      </c>
      <c r="D49" s="39" t="s">
        <v>607</v>
      </c>
      <c r="E49" s="6">
        <f>IF(ISNUMBER('FBPQ C2'!J41),'FBPQ C2'!J41,IF(ISNUMBER('FBPQ C2'!I41),'FBPQ C2'!I41,""))</f>
      </c>
      <c r="F49" s="45" t="s">
        <v>779</v>
      </c>
      <c r="G49" s="45" t="str">
        <f t="shared" si="2"/>
        <v> </v>
      </c>
      <c r="H49" s="35">
        <f>IF(ISBLANK('FBPQ T4'!E41)," ",'FBPQ T4'!AE41)</f>
        <v>0</v>
      </c>
      <c r="I49" s="35" t="str">
        <f t="shared" si="3"/>
        <v> </v>
      </c>
      <c r="J49" t="s">
        <v>750</v>
      </c>
      <c r="K49" s="49"/>
      <c r="L49" s="50"/>
      <c r="M49" s="49"/>
      <c r="N49" s="58"/>
      <c r="O49" s="59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779</v>
      </c>
      <c r="G50" s="45" t="str">
        <f t="shared" si="2"/>
        <v>DATA</v>
      </c>
      <c r="H50" s="35" t="str">
        <f>IF(ISBLANK('FBPQ T4'!E42)," ",'FBPQ T4'!AE42)</f>
        <v> </v>
      </c>
      <c r="I50" s="35" t="str">
        <f t="shared" si="3"/>
        <v> </v>
      </c>
      <c r="J50" t="s">
        <v>750</v>
      </c>
      <c r="K50" s="49"/>
      <c r="L50" s="49"/>
      <c r="M50" s="49"/>
      <c r="N50" s="58"/>
      <c r="O50" s="59"/>
    </row>
    <row r="51" spans="1:15" ht="12.75">
      <c r="A51" s="39"/>
      <c r="B51" s="34" t="s">
        <v>504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2"/>
        <v>0</v>
      </c>
      <c r="H51" s="35" t="str">
        <f>IF(ISBLANK('FBPQ T4'!E43)," ",'FBPQ T4'!AE43)</f>
        <v> </v>
      </c>
      <c r="I51" s="35" t="str">
        <f t="shared" si="3"/>
        <v> </v>
      </c>
      <c r="J51" t="s">
        <v>750</v>
      </c>
      <c r="K51" s="49"/>
      <c r="L51" s="50"/>
      <c r="M51" s="49"/>
      <c r="N51" s="58"/>
      <c r="O51" s="57"/>
    </row>
    <row r="52" spans="1:15" ht="12.75">
      <c r="A52" s="39"/>
      <c r="B52" s="34"/>
      <c r="C52" s="35" t="s">
        <v>505</v>
      </c>
      <c r="D52" s="39" t="s">
        <v>634</v>
      </c>
      <c r="E52" s="6">
        <f>IF(ISNUMBER('FBPQ C2'!J44),'FBPQ C2'!J44,IF(ISNUMBER('FBPQ C2'!I44),'FBPQ C2'!I44,""))</f>
        <v>84.05</v>
      </c>
      <c r="F52" s="45" t="s">
        <v>779</v>
      </c>
      <c r="G52" s="45">
        <f aca="true" t="shared" si="4" ref="G52:G83">IF(ISNUMBER(E52),E52,IF(H52&gt;0,F52," "))</f>
        <v>84.05</v>
      </c>
      <c r="H52" s="35">
        <f>IF(ISBLANK('FBPQ T4'!E44)," ",'FBPQ T4'!AE44)</f>
        <v>6617.3</v>
      </c>
      <c r="I52" s="35">
        <f t="shared" si="3"/>
        <v>556184.065</v>
      </c>
      <c r="J52" t="s">
        <v>750</v>
      </c>
      <c r="K52" s="49"/>
      <c r="L52" s="50"/>
      <c r="M52" s="49"/>
      <c r="N52" s="58"/>
      <c r="O52" s="57"/>
    </row>
    <row r="53" spans="1:15" ht="12.75">
      <c r="A53" s="39"/>
      <c r="B53" s="34"/>
      <c r="C53" s="35" t="s">
        <v>506</v>
      </c>
      <c r="D53" s="39" t="s">
        <v>634</v>
      </c>
      <c r="E53" s="6">
        <f>IF(ISNUMBER('FBPQ C2'!J45),'FBPQ C2'!J45,IF(ISNUMBER('FBPQ C2'!I45),'FBPQ C2'!I45,""))</f>
      </c>
      <c r="F53" s="45" t="s">
        <v>779</v>
      </c>
      <c r="G53" s="45" t="str">
        <f t="shared" si="4"/>
        <v> </v>
      </c>
      <c r="H53" s="35">
        <f>IF(ISBLANK('FBPQ T4'!E45)," ",'FBPQ T4'!AE45)</f>
        <v>0</v>
      </c>
      <c r="I53" s="35" t="str">
        <f t="shared" si="3"/>
        <v> </v>
      </c>
      <c r="J53" t="s">
        <v>750</v>
      </c>
      <c r="K53" s="49"/>
      <c r="L53" s="50"/>
      <c r="M53" s="49"/>
      <c r="N53" s="58"/>
      <c r="O53" s="59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4"/>
        <v>0</v>
      </c>
      <c r="H54" s="35" t="str">
        <f>IF(ISBLANK('FBPQ T4'!E46)," ",'FBPQ T4'!AE46)</f>
        <v> </v>
      </c>
      <c r="I54" s="35" t="str">
        <f t="shared" si="3"/>
        <v> </v>
      </c>
      <c r="J54" t="s">
        <v>750</v>
      </c>
      <c r="K54" s="49"/>
      <c r="L54" s="50"/>
      <c r="M54" s="49"/>
      <c r="N54" s="58"/>
      <c r="O54" s="59"/>
    </row>
    <row r="55" spans="1:15" ht="12.75">
      <c r="A55" s="39"/>
      <c r="B55" s="34" t="s">
        <v>637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4"/>
        <v>0</v>
      </c>
      <c r="H55" s="35" t="str">
        <f>IF(ISBLANK('FBPQ T4'!E47)," ",'FBPQ T4'!AE47)</f>
        <v> </v>
      </c>
      <c r="I55" s="35" t="str">
        <f t="shared" si="3"/>
        <v> </v>
      </c>
      <c r="J55" t="s">
        <v>750</v>
      </c>
      <c r="K55" s="49"/>
      <c r="L55" s="50"/>
      <c r="M55" s="49"/>
      <c r="N55" s="58"/>
      <c r="O55" s="57"/>
    </row>
    <row r="56" spans="1:15" ht="12.75">
      <c r="A56" s="39"/>
      <c r="B56" s="34"/>
      <c r="C56" s="35" t="s">
        <v>638</v>
      </c>
      <c r="D56" s="39" t="s">
        <v>634</v>
      </c>
      <c r="E56" s="6">
        <f>IF(ISNUMBER('FBPQ C2'!J48),'FBPQ C2'!J48,IF(ISNUMBER('FBPQ C2'!I48),'FBPQ C2'!I48,""))</f>
        <v>535</v>
      </c>
      <c r="F56" s="45" t="s">
        <v>779</v>
      </c>
      <c r="G56" s="45">
        <f t="shared" si="4"/>
        <v>535</v>
      </c>
      <c r="H56" s="35">
        <f>IF(ISBLANK('FBPQ T4'!E48)," ",'FBPQ T4'!AE48)</f>
        <v>20</v>
      </c>
      <c r="I56" s="35">
        <f t="shared" si="3"/>
        <v>10700</v>
      </c>
      <c r="J56" t="s">
        <v>750</v>
      </c>
      <c r="K56" s="49"/>
      <c r="L56" s="50"/>
      <c r="M56" s="49"/>
      <c r="N56" s="58"/>
      <c r="O56" s="59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779</v>
      </c>
      <c r="G57" s="45" t="str">
        <f t="shared" si="4"/>
        <v>DATA</v>
      </c>
      <c r="H57" s="35" t="str">
        <f>IF(ISBLANK('FBPQ T4'!E49)," ",'FBPQ T4'!AE49)</f>
        <v> </v>
      </c>
      <c r="I57" s="35" t="str">
        <f t="shared" si="3"/>
        <v> </v>
      </c>
      <c r="J57" t="s">
        <v>750</v>
      </c>
      <c r="K57" s="49"/>
      <c r="L57" s="50"/>
      <c r="M57" s="49"/>
      <c r="N57" s="58"/>
      <c r="O57" s="59"/>
    </row>
    <row r="58" spans="1:15" ht="12.75">
      <c r="A58" s="39"/>
      <c r="B58" s="34" t="s">
        <v>223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4"/>
        <v>0</v>
      </c>
      <c r="H58" s="35" t="str">
        <f>IF(ISBLANK('FBPQ T4'!E50)," ",'FBPQ T4'!AE50)</f>
        <v> </v>
      </c>
      <c r="I58" s="35" t="str">
        <f t="shared" si="3"/>
        <v> </v>
      </c>
      <c r="J58" t="s">
        <v>750</v>
      </c>
      <c r="K58" s="49"/>
      <c r="L58" s="50"/>
      <c r="M58" s="49"/>
      <c r="N58" s="58"/>
      <c r="O58" s="57"/>
    </row>
    <row r="59" spans="1:15" ht="12.75">
      <c r="A59" s="39"/>
      <c r="B59" s="34"/>
      <c r="C59" s="35" t="s">
        <v>639</v>
      </c>
      <c r="D59" s="39" t="s">
        <v>607</v>
      </c>
      <c r="E59" s="6">
        <f>IF(ISNUMBER('FBPQ C2'!J51),'FBPQ C2'!J51,IF(ISNUMBER('FBPQ C2'!I51),'FBPQ C2'!I51,""))</f>
        <v>8.23</v>
      </c>
      <c r="F59" s="45" t="s">
        <v>779</v>
      </c>
      <c r="G59" s="45">
        <f t="shared" si="4"/>
        <v>8.23</v>
      </c>
      <c r="H59" s="35">
        <f>IF(ISBLANK('FBPQ T4'!E51)," ",'FBPQ T4'!AE51)</f>
        <v>697</v>
      </c>
      <c r="I59" s="35">
        <f t="shared" si="3"/>
        <v>5736.31</v>
      </c>
      <c r="J59" t="s">
        <v>760</v>
      </c>
      <c r="K59" s="49"/>
      <c r="L59" s="50"/>
      <c r="M59" s="49"/>
      <c r="N59" s="58"/>
      <c r="O59" s="57"/>
    </row>
    <row r="60" spans="1:15" ht="12.75">
      <c r="A60" s="39"/>
      <c r="B60" s="34"/>
      <c r="C60" s="35" t="s">
        <v>514</v>
      </c>
      <c r="D60" s="39" t="s">
        <v>607</v>
      </c>
      <c r="E60" s="6">
        <f>IF(ISNUMBER('FBPQ C2'!J52),'FBPQ C2'!J52,IF(ISNUMBER('FBPQ C2'!I52),'FBPQ C2'!I52,""))</f>
        <v>24.46</v>
      </c>
      <c r="F60" s="45" t="s">
        <v>779</v>
      </c>
      <c r="G60" s="45">
        <f t="shared" si="4"/>
        <v>24.46</v>
      </c>
      <c r="H60" s="35">
        <f>IF(ISBLANK('FBPQ T4'!E52)," ",'FBPQ T4'!AE52)</f>
        <v>4133</v>
      </c>
      <c r="I60" s="35">
        <f t="shared" si="3"/>
        <v>101093.18000000001</v>
      </c>
      <c r="J60" t="s">
        <v>760</v>
      </c>
      <c r="K60" s="49"/>
      <c r="L60" s="50"/>
      <c r="M60" s="49"/>
      <c r="N60" s="58"/>
      <c r="O60" s="57"/>
    </row>
    <row r="61" spans="1:15" ht="12.75">
      <c r="A61" s="39"/>
      <c r="B61" s="34"/>
      <c r="C61" s="35" t="s">
        <v>515</v>
      </c>
      <c r="D61" s="39" t="s">
        <v>607</v>
      </c>
      <c r="E61" s="6">
        <f>IF(ISNUMBER('FBPQ C2'!J53),'FBPQ C2'!J53,IF(ISNUMBER('FBPQ C2'!I53),'FBPQ C2'!I53,""))</f>
        <v>6.83</v>
      </c>
      <c r="F61" s="45" t="s">
        <v>779</v>
      </c>
      <c r="G61" s="45">
        <f t="shared" si="4"/>
        <v>6.83</v>
      </c>
      <c r="H61" s="35">
        <f>IF(ISBLANK('FBPQ T4'!E53)," ",'FBPQ T4'!AE53)</f>
        <v>140</v>
      </c>
      <c r="I61" s="35">
        <f t="shared" si="3"/>
        <v>956.2</v>
      </c>
      <c r="J61" t="s">
        <v>750</v>
      </c>
      <c r="K61" s="49"/>
      <c r="L61" s="50"/>
      <c r="M61" s="49"/>
      <c r="N61" s="58"/>
      <c r="O61" s="57"/>
    </row>
    <row r="62" spans="1:15" ht="12.75">
      <c r="A62" s="39"/>
      <c r="B62" s="34"/>
      <c r="C62" s="35" t="s">
        <v>516</v>
      </c>
      <c r="D62" s="39" t="s">
        <v>607</v>
      </c>
      <c r="E62" s="6">
        <f>IF(ISNUMBER('FBPQ C2'!J54),'FBPQ C2'!J54,IF(ISNUMBER('FBPQ C2'!I54),'FBPQ C2'!I54,""))</f>
        <v>10.02</v>
      </c>
      <c r="F62" s="45" t="s">
        <v>779</v>
      </c>
      <c r="G62" s="45">
        <f t="shared" si="4"/>
        <v>10.02</v>
      </c>
      <c r="H62" s="35">
        <f>IF(ISBLANK('FBPQ T4'!E54)," ",'FBPQ T4'!AE54)</f>
        <v>8698</v>
      </c>
      <c r="I62" s="35">
        <f t="shared" si="3"/>
        <v>87153.95999999999</v>
      </c>
      <c r="J62" t="s">
        <v>25</v>
      </c>
      <c r="K62" s="49"/>
      <c r="L62" s="50"/>
      <c r="M62" s="49"/>
      <c r="N62" s="58"/>
      <c r="O62" s="57"/>
    </row>
    <row r="63" spans="1:15" ht="12.75">
      <c r="A63" s="39"/>
      <c r="B63" s="34"/>
      <c r="C63" s="35" t="s">
        <v>387</v>
      </c>
      <c r="D63" s="39" t="s">
        <v>607</v>
      </c>
      <c r="E63" s="6">
        <f>IF(ISNUMBER('FBPQ C2'!J55),'FBPQ C2'!J55,IF(ISNUMBER('FBPQ C2'!I55),'FBPQ C2'!I55,""))</f>
        <v>12.15</v>
      </c>
      <c r="F63" s="45" t="s">
        <v>779</v>
      </c>
      <c r="G63" s="45">
        <f t="shared" si="4"/>
        <v>12.15</v>
      </c>
      <c r="H63" s="35">
        <f>IF(ISBLANK('FBPQ T4'!E55)," ",'FBPQ T4'!AE55)</f>
        <v>7141</v>
      </c>
      <c r="I63" s="35">
        <f t="shared" si="3"/>
        <v>86763.15000000001</v>
      </c>
      <c r="J63" t="s">
        <v>25</v>
      </c>
      <c r="K63" s="49"/>
      <c r="L63" s="50"/>
      <c r="M63" s="49"/>
      <c r="N63" s="58"/>
      <c r="O63" s="60"/>
    </row>
    <row r="64" spans="1:15" ht="12.75">
      <c r="A64" s="39"/>
      <c r="B64" s="34"/>
      <c r="C64" s="35" t="s">
        <v>388</v>
      </c>
      <c r="D64" s="39" t="s">
        <v>607</v>
      </c>
      <c r="E64" s="6">
        <f>IF(ISNUMBER('FBPQ C2'!J56),'FBPQ C2'!J56,IF(ISNUMBER('FBPQ C2'!I56),'FBPQ C2'!I56,""))</f>
      </c>
      <c r="F64" s="45" t="s">
        <v>779</v>
      </c>
      <c r="G64" s="45" t="str">
        <f t="shared" si="4"/>
        <v>DATA</v>
      </c>
      <c r="H64" s="35">
        <f>IF(ISBLANK('FBPQ T4'!E56)," ",'FBPQ T4'!AE56)</f>
        <v>23664</v>
      </c>
      <c r="I64" s="35" t="str">
        <f t="shared" si="3"/>
        <v> </v>
      </c>
      <c r="J64" t="s">
        <v>750</v>
      </c>
      <c r="K64" s="49"/>
      <c r="L64" s="50"/>
      <c r="M64" s="49"/>
      <c r="N64" s="58"/>
      <c r="O64" s="60"/>
    </row>
    <row r="65" spans="1:15" ht="12.75">
      <c r="A65" s="39"/>
      <c r="B65" s="34"/>
      <c r="C65" s="35" t="s">
        <v>641</v>
      </c>
      <c r="D65" s="39" t="s">
        <v>607</v>
      </c>
      <c r="E65" s="6">
        <f>IF(ISNUMBER('FBPQ C2'!J57),'FBPQ C2'!J57,IF(ISNUMBER('FBPQ C2'!I57),'FBPQ C2'!I57,""))</f>
      </c>
      <c r="F65" s="45" t="s">
        <v>779</v>
      </c>
      <c r="G65" s="45" t="str">
        <f t="shared" si="4"/>
        <v>DATA</v>
      </c>
      <c r="H65" s="35">
        <f>IF(ISBLANK('FBPQ T4'!E57)," ",'FBPQ T4'!AE57)</f>
        <v>21</v>
      </c>
      <c r="I65" s="35" t="str">
        <f t="shared" si="3"/>
        <v> </v>
      </c>
      <c r="J65" t="s">
        <v>750</v>
      </c>
      <c r="K65" s="49"/>
      <c r="L65" s="50"/>
      <c r="M65" s="49"/>
      <c r="N65" s="58"/>
      <c r="O65" s="57"/>
    </row>
    <row r="66" spans="1:15" ht="12.75">
      <c r="A66" s="39"/>
      <c r="B66" s="34"/>
      <c r="C66" s="35" t="s">
        <v>254</v>
      </c>
      <c r="D66" s="39" t="s">
        <v>607</v>
      </c>
      <c r="E66" s="6">
        <f>IF(ISNUMBER('FBPQ C2'!J58),'FBPQ C2'!J58,IF(ISNUMBER('FBPQ C2'!I58),'FBPQ C2'!I58,""))</f>
      </c>
      <c r="F66" s="45" t="s">
        <v>779</v>
      </c>
      <c r="G66" s="45" t="str">
        <f t="shared" si="4"/>
        <v> </v>
      </c>
      <c r="H66" s="35">
        <f>IF(ISBLANK('FBPQ T4'!E58)," ",'FBPQ T4'!AE58)</f>
        <v>0</v>
      </c>
      <c r="I66" s="35" t="str">
        <f t="shared" si="3"/>
        <v> </v>
      </c>
      <c r="J66" t="s">
        <v>760</v>
      </c>
      <c r="K66" s="49"/>
      <c r="L66" s="49"/>
      <c r="M66" s="49"/>
      <c r="N66" s="58"/>
      <c r="O66" s="57"/>
    </row>
    <row r="67" spans="1:15" ht="12.75">
      <c r="A67" s="39"/>
      <c r="B67" s="34"/>
      <c r="C67" s="35" t="s">
        <v>134</v>
      </c>
      <c r="D67" s="39" t="s">
        <v>607</v>
      </c>
      <c r="E67" s="6">
        <f>IF(ISNUMBER('FBPQ C2'!J59),'FBPQ C2'!J59,IF(ISNUMBER('FBPQ C2'!I59),'FBPQ C2'!I59,""))</f>
      </c>
      <c r="F67" s="45" t="s">
        <v>779</v>
      </c>
      <c r="G67" s="45" t="str">
        <f t="shared" si="4"/>
        <v> </v>
      </c>
      <c r="H67" s="35">
        <f>IF(ISBLANK('FBPQ T4'!E59)," ",'FBPQ T4'!AE59)</f>
        <v>0</v>
      </c>
      <c r="I67" s="35" t="str">
        <f t="shared" si="3"/>
        <v> </v>
      </c>
      <c r="J67" t="s">
        <v>760</v>
      </c>
      <c r="K67" s="49"/>
      <c r="L67" s="49"/>
      <c r="M67" s="49"/>
      <c r="N67" s="58"/>
      <c r="O67" s="57"/>
    </row>
    <row r="68" spans="1:15" ht="12.75">
      <c r="A68" s="39"/>
      <c r="B68" s="34"/>
      <c r="C68" s="35" t="s">
        <v>135</v>
      </c>
      <c r="D68" s="39" t="s">
        <v>607</v>
      </c>
      <c r="E68" s="6">
        <f>IF(ISNUMBER('FBPQ C2'!J60),'FBPQ C2'!J60,IF(ISNUMBER('FBPQ C2'!I60),'FBPQ C2'!I60,""))</f>
      </c>
      <c r="F68" s="45" t="s">
        <v>779</v>
      </c>
      <c r="G68" s="45" t="str">
        <f t="shared" si="4"/>
        <v> </v>
      </c>
      <c r="H68" s="35">
        <f>IF(ISBLANK('FBPQ T4'!E60)," ",'FBPQ T4'!AE60)</f>
        <v>0</v>
      </c>
      <c r="I68" s="35" t="str">
        <f t="shared" si="3"/>
        <v> </v>
      </c>
      <c r="J68" t="s">
        <v>750</v>
      </c>
      <c r="K68" s="49"/>
      <c r="L68" s="50"/>
      <c r="M68" s="49"/>
      <c r="N68" s="58"/>
      <c r="O68" s="57"/>
    </row>
    <row r="69" spans="1:15" ht="12.75">
      <c r="A69" s="39"/>
      <c r="B69" s="34"/>
      <c r="C69" s="35" t="s">
        <v>136</v>
      </c>
      <c r="D69" s="39" t="s">
        <v>607</v>
      </c>
      <c r="E69" s="6">
        <f>IF(ISNUMBER('FBPQ C2'!J61),'FBPQ C2'!J61,IF(ISNUMBER('FBPQ C2'!I61),'FBPQ C2'!I61,""))</f>
      </c>
      <c r="F69" s="45" t="s">
        <v>779</v>
      </c>
      <c r="G69" s="45" t="str">
        <f t="shared" si="4"/>
        <v> </v>
      </c>
      <c r="H69" s="35">
        <f>IF(ISBLANK('FBPQ T4'!E61)," ",'FBPQ T4'!AE61)</f>
        <v>0</v>
      </c>
      <c r="I69" s="35" t="str">
        <f t="shared" si="3"/>
        <v> </v>
      </c>
      <c r="J69" t="s">
        <v>25</v>
      </c>
      <c r="K69" s="49"/>
      <c r="L69" s="50"/>
      <c r="M69" s="49"/>
      <c r="N69" s="58"/>
      <c r="O69" s="57"/>
    </row>
    <row r="70" spans="1:15" ht="12.75">
      <c r="A70" s="39"/>
      <c r="B70" s="34"/>
      <c r="C70" s="35" t="s">
        <v>139</v>
      </c>
      <c r="D70" s="39" t="s">
        <v>607</v>
      </c>
      <c r="E70" s="6">
        <f>IF(ISNUMBER('FBPQ C2'!J62),'FBPQ C2'!J62,IF(ISNUMBER('FBPQ C2'!I62),'FBPQ C2'!I62,""))</f>
      </c>
      <c r="F70" s="45" t="s">
        <v>779</v>
      </c>
      <c r="G70" s="45" t="str">
        <f t="shared" si="4"/>
        <v> </v>
      </c>
      <c r="H70" s="35">
        <f>IF(ISBLANK('FBPQ T4'!E62)," ",'FBPQ T4'!AE62)</f>
        <v>0</v>
      </c>
      <c r="I70" s="35" t="str">
        <f t="shared" si="3"/>
        <v> </v>
      </c>
      <c r="J70" t="s">
        <v>25</v>
      </c>
      <c r="K70" s="49"/>
      <c r="L70" s="50"/>
      <c r="M70" s="49"/>
      <c r="N70" s="58"/>
      <c r="O70" s="60"/>
    </row>
    <row r="71" spans="1:15" ht="12.75">
      <c r="A71" s="39"/>
      <c r="B71" s="34"/>
      <c r="C71" s="35" t="s">
        <v>394</v>
      </c>
      <c r="D71" s="39" t="s">
        <v>607</v>
      </c>
      <c r="E71" s="6">
        <f>IF(ISNUMBER('FBPQ C2'!J63),'FBPQ C2'!J63,IF(ISNUMBER('FBPQ C2'!I63),'FBPQ C2'!I63,""))</f>
      </c>
      <c r="F71" s="45" t="s">
        <v>779</v>
      </c>
      <c r="G71" s="45" t="str">
        <f t="shared" si="4"/>
        <v> </v>
      </c>
      <c r="H71" s="35">
        <f>IF(ISBLANK('FBPQ T4'!E63)," ",'FBPQ T4'!AE63)</f>
        <v>0</v>
      </c>
      <c r="I71" s="35" t="str">
        <f t="shared" si="3"/>
        <v> </v>
      </c>
      <c r="J71" t="s">
        <v>750</v>
      </c>
      <c r="K71" s="49"/>
      <c r="L71" s="50"/>
      <c r="M71" s="49"/>
      <c r="N71" s="58"/>
      <c r="O71" s="60"/>
    </row>
    <row r="72" spans="1:15" ht="12.75">
      <c r="A72" s="39"/>
      <c r="B72" s="34"/>
      <c r="C72" s="35" t="s">
        <v>257</v>
      </c>
      <c r="D72" s="39" t="s">
        <v>607</v>
      </c>
      <c r="E72" s="6">
        <f>IF(ISNUMBER('FBPQ C2'!J64),'FBPQ C2'!J64,IF(ISNUMBER('FBPQ C2'!I64),'FBPQ C2'!I64,""))</f>
      </c>
      <c r="F72" s="45" t="s">
        <v>779</v>
      </c>
      <c r="G72" s="45" t="str">
        <f t="shared" si="4"/>
        <v> </v>
      </c>
      <c r="H72" s="35">
        <f>IF(ISBLANK('FBPQ T4'!E64)," ",'FBPQ T4'!AE64)</f>
        <v>0</v>
      </c>
      <c r="I72" s="35" t="str">
        <f t="shared" si="3"/>
        <v> </v>
      </c>
      <c r="J72" t="s">
        <v>750</v>
      </c>
      <c r="K72" s="49"/>
      <c r="L72" s="50"/>
      <c r="M72" s="49"/>
      <c r="N72" s="58"/>
      <c r="O72" s="59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4"/>
        <v>0</v>
      </c>
      <c r="H73" s="35" t="str">
        <f>IF(ISBLANK('FBPQ T4'!E65)," ",'FBPQ T4'!AE65)</f>
        <v> </v>
      </c>
      <c r="I73" s="35" t="str">
        <f t="shared" si="3"/>
        <v> </v>
      </c>
      <c r="J73"/>
      <c r="K73" s="49"/>
      <c r="L73" s="50"/>
      <c r="M73" s="49"/>
      <c r="N73" s="58"/>
      <c r="O73" s="59"/>
    </row>
    <row r="74" spans="1:15" ht="12.75">
      <c r="A74" s="39"/>
      <c r="B74" s="34" t="s">
        <v>258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4"/>
        <v>0</v>
      </c>
      <c r="H74" s="35" t="str">
        <f>IF(ISBLANK('FBPQ T4'!E66)," ",'FBPQ T4'!AE66)</f>
        <v> </v>
      </c>
      <c r="I74" s="35" t="str">
        <f t="shared" si="3"/>
        <v> </v>
      </c>
      <c r="J74"/>
      <c r="K74" s="49"/>
      <c r="L74" s="50"/>
      <c r="M74" s="49"/>
      <c r="N74" s="58"/>
      <c r="O74" s="57"/>
    </row>
    <row r="75" spans="1:15" ht="12.75">
      <c r="A75" s="39"/>
      <c r="B75" s="34"/>
      <c r="C75" s="35" t="s">
        <v>259</v>
      </c>
      <c r="D75" s="39" t="s">
        <v>607</v>
      </c>
      <c r="E75" s="6">
        <f>IF(ISNUMBER('FBPQ C2'!J67),'FBPQ C2'!J67,IF(ISNUMBER('FBPQ C2'!I67),'FBPQ C2'!I67,""))</f>
        <v>1.74</v>
      </c>
      <c r="F75" s="45" t="s">
        <v>779</v>
      </c>
      <c r="G75" s="45">
        <f t="shared" si="4"/>
        <v>1.74</v>
      </c>
      <c r="H75" s="35">
        <f>IF(ISBLANK('FBPQ T4'!E67)," ",'FBPQ T4'!AE67)</f>
        <v>38122</v>
      </c>
      <c r="I75" s="35">
        <f t="shared" si="3"/>
        <v>66332.28</v>
      </c>
      <c r="J75" t="s">
        <v>25</v>
      </c>
      <c r="K75" s="49"/>
      <c r="L75" s="50"/>
      <c r="M75" s="49"/>
      <c r="N75" s="58"/>
      <c r="O75" s="57"/>
    </row>
    <row r="76" spans="1:15" ht="12.75">
      <c r="A76" s="39"/>
      <c r="B76" s="34"/>
      <c r="C76" s="35" t="s">
        <v>260</v>
      </c>
      <c r="D76" s="39" t="s">
        <v>607</v>
      </c>
      <c r="E76" s="6">
        <f>IF(ISNUMBER('FBPQ C2'!J68),'FBPQ C2'!J68,IF(ISNUMBER('FBPQ C2'!I68),'FBPQ C2'!I68,""))</f>
        <v>12.74</v>
      </c>
      <c r="F76" s="45" t="s">
        <v>779</v>
      </c>
      <c r="G76" s="45">
        <f t="shared" si="4"/>
        <v>12.74</v>
      </c>
      <c r="H76" s="35">
        <f>IF(ISBLANK('FBPQ T4'!E68)," ",'FBPQ T4'!AE68)</f>
        <v>12901</v>
      </c>
      <c r="I76" s="35">
        <f t="shared" si="3"/>
        <v>164358.74</v>
      </c>
      <c r="J76" t="s">
        <v>25</v>
      </c>
      <c r="K76" s="49"/>
      <c r="L76" s="50"/>
      <c r="M76" s="49"/>
      <c r="N76" s="58"/>
      <c r="O76" s="57"/>
    </row>
    <row r="77" spans="1:15" ht="12.75">
      <c r="A77" s="39"/>
      <c r="B77" s="34"/>
      <c r="C77" s="35" t="s">
        <v>261</v>
      </c>
      <c r="D77" s="39" t="s">
        <v>607</v>
      </c>
      <c r="E77" s="6">
        <f>IF(ISNUMBER('FBPQ C2'!J69),'FBPQ C2'!J69,IF(ISNUMBER('FBPQ C2'!I69),'FBPQ C2'!I69,""))</f>
      </c>
      <c r="F77" s="45" t="s">
        <v>779</v>
      </c>
      <c r="G77" s="45" t="str">
        <f t="shared" si="4"/>
        <v> </v>
      </c>
      <c r="H77" s="35">
        <f>IF(ISBLANK('FBPQ T4'!E69)," ",'FBPQ T4'!AE69)</f>
        <v>0</v>
      </c>
      <c r="I77" s="35" t="str">
        <f t="shared" si="3"/>
        <v> </v>
      </c>
      <c r="J77" t="s">
        <v>25</v>
      </c>
      <c r="K77" s="49"/>
      <c r="L77" s="50"/>
      <c r="M77" s="49"/>
      <c r="N77" s="58"/>
      <c r="O77" s="57"/>
    </row>
    <row r="78" spans="1:15" ht="12.75">
      <c r="A78" s="39"/>
      <c r="B78" s="34"/>
      <c r="C78" s="35" t="s">
        <v>262</v>
      </c>
      <c r="D78" s="39" t="s">
        <v>607</v>
      </c>
      <c r="E78" s="6">
        <f>IF(ISNUMBER('FBPQ C2'!J70),'FBPQ C2'!J70,IF(ISNUMBER('FBPQ C2'!I70),'FBPQ C2'!I70,""))</f>
      </c>
      <c r="F78" s="45" t="s">
        <v>779</v>
      </c>
      <c r="G78" s="45" t="str">
        <f t="shared" si="4"/>
        <v> </v>
      </c>
      <c r="H78" s="35">
        <f>IF(ISBLANK('FBPQ T4'!E70)," ",'FBPQ T4'!AE70)</f>
        <v>0</v>
      </c>
      <c r="I78" s="35" t="str">
        <f t="shared" si="3"/>
        <v> </v>
      </c>
      <c r="J78" t="s">
        <v>25</v>
      </c>
      <c r="K78" s="49"/>
      <c r="L78" s="50"/>
      <c r="M78" s="49"/>
      <c r="N78" s="58"/>
      <c r="O78" s="59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4"/>
        <v>0</v>
      </c>
      <c r="H79" s="35" t="str">
        <f>IF(ISBLANK('FBPQ T4'!E71)," ",'FBPQ T4'!AE71)</f>
        <v> </v>
      </c>
      <c r="I79" s="35" t="str">
        <f t="shared" si="3"/>
        <v> </v>
      </c>
      <c r="J79"/>
      <c r="K79" s="61"/>
      <c r="L79" s="61"/>
      <c r="M79" s="61"/>
      <c r="N79" s="62"/>
      <c r="O79" s="59"/>
    </row>
    <row r="80" spans="1:15" ht="12.75">
      <c r="A80" s="39" t="s">
        <v>272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4"/>
        <v>0</v>
      </c>
      <c r="H80" s="35" t="str">
        <f>IF(ISBLANK('FBPQ T4'!E72)," ",'FBPQ T4'!AE72)</f>
        <v> </v>
      </c>
      <c r="I80" s="35" t="str">
        <f t="shared" si="3"/>
        <v> </v>
      </c>
      <c r="J80"/>
      <c r="K80" s="48"/>
      <c r="L80" s="48"/>
      <c r="M80" s="63"/>
      <c r="N80" s="58"/>
      <c r="O80" s="59"/>
    </row>
    <row r="81" spans="1:15" ht="12.75">
      <c r="A81" s="39"/>
      <c r="B81" s="34" t="s">
        <v>644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4"/>
        <v>0</v>
      </c>
      <c r="H81" s="35" t="str">
        <f>IF(ISBLANK('FBPQ T4'!E73)," ",'FBPQ T4'!AE73)</f>
        <v> </v>
      </c>
      <c r="I81" s="35" t="str">
        <f t="shared" si="3"/>
        <v> </v>
      </c>
      <c r="J81"/>
      <c r="K81" s="49"/>
      <c r="L81" s="50"/>
      <c r="M81" s="49"/>
      <c r="N81" s="58"/>
      <c r="O81" s="57"/>
    </row>
    <row r="82" spans="1:15" ht="12.75">
      <c r="A82" s="39"/>
      <c r="B82" s="34"/>
      <c r="C82" s="35" t="s">
        <v>273</v>
      </c>
      <c r="D82" s="39" t="s">
        <v>634</v>
      </c>
      <c r="E82" s="6">
        <f>IF(ISNUMBER('FBPQ C2'!J74),'FBPQ C2'!J74,IF(ISNUMBER('FBPQ C2'!I74),'FBPQ C2'!I74,""))</f>
        <v>26.87</v>
      </c>
      <c r="F82" s="45" t="s">
        <v>779</v>
      </c>
      <c r="G82" s="45">
        <f t="shared" si="4"/>
        <v>26.87</v>
      </c>
      <c r="H82" s="35">
        <f>IF(ISBLANK('FBPQ T4'!E74)," ",'FBPQ T4'!AE74)</f>
        <v>2808</v>
      </c>
      <c r="I82" s="35">
        <f t="shared" si="3"/>
        <v>75450.96</v>
      </c>
      <c r="J82" t="s">
        <v>756</v>
      </c>
      <c r="K82" s="49"/>
      <c r="L82" s="49"/>
      <c r="M82" s="49"/>
      <c r="N82" s="58"/>
      <c r="O82" s="57"/>
    </row>
    <row r="83" spans="1:15" ht="12.75">
      <c r="A83" s="39"/>
      <c r="B83" s="34"/>
      <c r="C83" s="35" t="s">
        <v>274</v>
      </c>
      <c r="D83" s="39" t="s">
        <v>634</v>
      </c>
      <c r="E83" s="6">
        <f>IF(ISNUMBER('FBPQ C2'!J75),'FBPQ C2'!J75,IF(ISNUMBER('FBPQ C2'!I75),'FBPQ C2'!I75,""))</f>
        <v>29.82</v>
      </c>
      <c r="F83" s="45" t="s">
        <v>779</v>
      </c>
      <c r="G83" s="45">
        <f t="shared" si="4"/>
        <v>29.82</v>
      </c>
      <c r="H83" s="35">
        <f>IF(ISBLANK('FBPQ T4'!E75)," ",'FBPQ T4'!AE75)</f>
        <v>101</v>
      </c>
      <c r="I83" s="35">
        <f t="shared" si="3"/>
        <v>3011.82</v>
      </c>
      <c r="J83" t="s">
        <v>756</v>
      </c>
      <c r="K83" s="49"/>
      <c r="L83" s="50"/>
      <c r="M83" s="49"/>
      <c r="N83" s="58"/>
      <c r="O83" s="57"/>
    </row>
    <row r="84" spans="1:15" ht="12.75">
      <c r="A84" s="39"/>
      <c r="B84" s="34"/>
      <c r="C84" s="35" t="s">
        <v>275</v>
      </c>
      <c r="D84" s="39" t="s">
        <v>634</v>
      </c>
      <c r="E84" s="6">
        <f>IF(ISNUMBER('FBPQ C2'!J76),'FBPQ C2'!J76,IF(ISNUMBER('FBPQ C2'!I76),'FBPQ C2'!I76,""))</f>
      </c>
      <c r="F84" s="45" t="s">
        <v>779</v>
      </c>
      <c r="G84" s="45" t="str">
        <f aca="true" t="shared" si="5" ref="G84:G115">IF(ISNUMBER(E84),E84,IF(H84&gt;0,F84," "))</f>
        <v> </v>
      </c>
      <c r="H84" s="35">
        <f>IF(ISBLANK('FBPQ T4'!E76)," ",'FBPQ T4'!AE76)</f>
        <v>0</v>
      </c>
      <c r="I84" s="35" t="str">
        <f t="shared" si="3"/>
        <v> </v>
      </c>
      <c r="J84" t="s">
        <v>756</v>
      </c>
      <c r="K84" s="49"/>
      <c r="L84" s="50"/>
      <c r="M84" s="49"/>
      <c r="N84" s="58"/>
      <c r="O84" s="57"/>
    </row>
    <row r="85" spans="1:15" ht="12.75">
      <c r="A85" s="39"/>
      <c r="B85" s="34"/>
      <c r="C85" s="35" t="s">
        <v>276</v>
      </c>
      <c r="D85" s="39" t="s">
        <v>634</v>
      </c>
      <c r="E85" s="6">
        <f>IF(ISNUMBER('FBPQ C2'!J77),'FBPQ C2'!J77,IF(ISNUMBER('FBPQ C2'!I77),'FBPQ C2'!I77,""))</f>
      </c>
      <c r="F85" s="45" t="s">
        <v>779</v>
      </c>
      <c r="G85" s="45" t="str">
        <f t="shared" si="5"/>
        <v> </v>
      </c>
      <c r="H85" s="35">
        <f>IF(ISBLANK('FBPQ T4'!E77)," ",'FBPQ T4'!AE77)</f>
        <v>0</v>
      </c>
      <c r="I85" s="35" t="str">
        <f aca="true" t="shared" si="6" ref="I85:I148">IF(ISERROR(G85*H85)," ",G85*H85)</f>
        <v> </v>
      </c>
      <c r="J85" t="s">
        <v>756</v>
      </c>
      <c r="K85" s="49"/>
      <c r="L85" s="50"/>
      <c r="M85" s="49"/>
      <c r="N85" s="58"/>
      <c r="O85" s="59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5"/>
        <v>0</v>
      </c>
      <c r="H86" s="35" t="str">
        <f>IF(ISBLANK('FBPQ T4'!E78)," ",'FBPQ T4'!AE78)</f>
        <v> </v>
      </c>
      <c r="I86" s="35" t="str">
        <f t="shared" si="6"/>
        <v> </v>
      </c>
      <c r="J86"/>
      <c r="K86" s="49"/>
      <c r="L86" s="50"/>
      <c r="M86" s="49"/>
      <c r="N86" s="58"/>
      <c r="O86" s="59"/>
    </row>
    <row r="87" spans="1:15" ht="12.75">
      <c r="A87" s="39"/>
      <c r="B87" s="34" t="s">
        <v>608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5"/>
        <v>0</v>
      </c>
      <c r="H87" s="35" t="str">
        <f>IF(ISBLANK('FBPQ T4'!E79)," ",'FBPQ T4'!AE79)</f>
        <v> </v>
      </c>
      <c r="I87" s="35" t="str">
        <f t="shared" si="6"/>
        <v> </v>
      </c>
      <c r="J87"/>
      <c r="K87" s="49"/>
      <c r="L87" s="50"/>
      <c r="M87" s="49"/>
      <c r="N87" s="58"/>
      <c r="O87" s="57"/>
    </row>
    <row r="88" spans="1:15" ht="12.75">
      <c r="A88" s="39"/>
      <c r="B88" s="34"/>
      <c r="C88" s="35" t="s">
        <v>277</v>
      </c>
      <c r="D88" s="39" t="s">
        <v>607</v>
      </c>
      <c r="E88" s="6">
        <f>IF(ISNUMBER('FBPQ C2'!J80),'FBPQ C2'!J80,IF(ISNUMBER('FBPQ C2'!I80),'FBPQ C2'!I80,""))</f>
        <v>2.56</v>
      </c>
      <c r="F88" s="45" t="s">
        <v>779</v>
      </c>
      <c r="G88" s="45">
        <f t="shared" si="5"/>
        <v>2.56</v>
      </c>
      <c r="H88" s="35">
        <f>IF(ISBLANK('FBPQ T4'!E80)," ",'FBPQ T4'!AE80)</f>
        <v>29358</v>
      </c>
      <c r="I88" s="35">
        <f t="shared" si="6"/>
        <v>75156.48</v>
      </c>
      <c r="J88" t="s">
        <v>756</v>
      </c>
      <c r="K88" s="49"/>
      <c r="L88" s="49"/>
      <c r="M88" s="49"/>
      <c r="N88" s="58"/>
      <c r="O88" s="57"/>
    </row>
    <row r="89" spans="1:15" ht="12.75">
      <c r="A89" s="39"/>
      <c r="B89" s="34"/>
      <c r="C89" s="35" t="s">
        <v>278</v>
      </c>
      <c r="D89" s="39" t="s">
        <v>607</v>
      </c>
      <c r="E89" s="6">
        <f>IF(ISNUMBER('FBPQ C2'!J81),'FBPQ C2'!J81,IF(ISNUMBER('FBPQ C2'!I81),'FBPQ C2'!I81,""))</f>
        <v>45.14</v>
      </c>
      <c r="F89" s="45" t="s">
        <v>779</v>
      </c>
      <c r="G89" s="45">
        <f t="shared" si="5"/>
        <v>45.14</v>
      </c>
      <c r="H89" s="35">
        <f>IF(ISBLANK('FBPQ T4'!E81)," ",'FBPQ T4'!AE81)</f>
        <v>431</v>
      </c>
      <c r="I89" s="35">
        <f t="shared" si="6"/>
        <v>19455.34</v>
      </c>
      <c r="J89" t="s">
        <v>756</v>
      </c>
      <c r="K89" s="49"/>
      <c r="L89" s="49"/>
      <c r="M89" s="49"/>
      <c r="N89" s="58"/>
      <c r="O89" s="57"/>
    </row>
    <row r="90" spans="1:15" ht="12.75">
      <c r="A90" s="39"/>
      <c r="B90" s="34"/>
      <c r="C90" s="35" t="s">
        <v>279</v>
      </c>
      <c r="D90" s="39" t="s">
        <v>607</v>
      </c>
      <c r="E90" s="6">
        <f>IF(ISNUMBER('FBPQ C2'!J82),'FBPQ C2'!J82,IF(ISNUMBER('FBPQ C2'!I82),'FBPQ C2'!I82,""))</f>
      </c>
      <c r="F90" s="45" t="s">
        <v>779</v>
      </c>
      <c r="G90" s="45" t="str">
        <f t="shared" si="5"/>
        <v> </v>
      </c>
      <c r="H90" s="35">
        <f>IF(ISBLANK('FBPQ T4'!E82)," ",'FBPQ T4'!AE82)</f>
        <v>0</v>
      </c>
      <c r="I90" s="35" t="str">
        <f t="shared" si="6"/>
        <v> </v>
      </c>
      <c r="J90" t="s">
        <v>756</v>
      </c>
      <c r="K90" s="49"/>
      <c r="L90" s="50"/>
      <c r="M90" s="49"/>
      <c r="N90" s="58"/>
      <c r="O90" s="57"/>
    </row>
    <row r="91" spans="1:15" ht="12.75">
      <c r="A91" s="39"/>
      <c r="B91" s="34"/>
      <c r="C91" s="35" t="s">
        <v>280</v>
      </c>
      <c r="D91" s="39" t="s">
        <v>607</v>
      </c>
      <c r="E91" s="6">
        <f>IF(ISNUMBER('FBPQ C2'!J83),'FBPQ C2'!J83,IF(ISNUMBER('FBPQ C2'!I83),'FBPQ C2'!I83,""))</f>
      </c>
      <c r="F91" s="45" t="s">
        <v>779</v>
      </c>
      <c r="G91" s="45" t="str">
        <f t="shared" si="5"/>
        <v> </v>
      </c>
      <c r="H91" s="35">
        <f>IF(ISBLANK('FBPQ T4'!E83)," ",'FBPQ T4'!AE83)</f>
        <v>0</v>
      </c>
      <c r="I91" s="35" t="str">
        <f t="shared" si="6"/>
        <v> </v>
      </c>
      <c r="J91" t="s">
        <v>756</v>
      </c>
      <c r="K91" s="49"/>
      <c r="L91" s="50"/>
      <c r="M91" s="49"/>
      <c r="N91" s="58"/>
      <c r="O91" s="59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5"/>
        <v>0</v>
      </c>
      <c r="H92" s="35" t="str">
        <f>IF(ISBLANK('FBPQ T4'!E84)," ",'FBPQ T4'!AE84)</f>
        <v> </v>
      </c>
      <c r="I92" s="35" t="str">
        <f t="shared" si="6"/>
        <v> </v>
      </c>
      <c r="J92"/>
      <c r="K92" s="49"/>
      <c r="L92" s="49"/>
      <c r="M92" s="49"/>
      <c r="N92" s="58"/>
      <c r="O92" s="59"/>
    </row>
    <row r="93" spans="1:15" ht="12.75">
      <c r="A93" s="39"/>
      <c r="B93" s="34" t="s">
        <v>504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5"/>
        <v>0</v>
      </c>
      <c r="H93" s="35" t="str">
        <f>IF(ISBLANK('FBPQ T4'!E85)," ",'FBPQ T4'!AE85)</f>
        <v> </v>
      </c>
      <c r="I93" s="35" t="str">
        <f t="shared" si="6"/>
        <v> </v>
      </c>
      <c r="J93"/>
      <c r="K93" s="49"/>
      <c r="L93" s="50"/>
      <c r="M93" s="49"/>
      <c r="N93" s="58"/>
      <c r="O93" s="57"/>
    </row>
    <row r="94" spans="1:15" ht="12.75">
      <c r="A94" s="39"/>
      <c r="B94" s="34"/>
      <c r="C94" s="35" t="s">
        <v>11</v>
      </c>
      <c r="D94" s="39" t="s">
        <v>634</v>
      </c>
      <c r="E94" s="6">
        <f>IF(ISNUMBER('FBPQ C2'!J86),'FBPQ C2'!J86,IF(ISNUMBER('FBPQ C2'!I86),'FBPQ C2'!I86,""))</f>
        <v>172.86</v>
      </c>
      <c r="F94" s="45" t="s">
        <v>779</v>
      </c>
      <c r="G94" s="45">
        <f t="shared" si="5"/>
        <v>172.86</v>
      </c>
      <c r="H94" s="35">
        <f>IF(ISBLANK('FBPQ T4'!E86)," ",'FBPQ T4'!AE86)</f>
        <v>767.17</v>
      </c>
      <c r="I94" s="35">
        <f t="shared" si="6"/>
        <v>132613.0062</v>
      </c>
      <c r="J94" t="s">
        <v>756</v>
      </c>
      <c r="K94" s="49"/>
      <c r="L94" s="50"/>
      <c r="M94" s="49"/>
      <c r="N94" s="58"/>
      <c r="O94" s="57"/>
    </row>
    <row r="95" spans="1:15" ht="12.75">
      <c r="A95" s="39"/>
      <c r="B95" s="34"/>
      <c r="C95" s="35" t="s">
        <v>12</v>
      </c>
      <c r="D95" s="39" t="s">
        <v>634</v>
      </c>
      <c r="E95" s="6">
        <f>IF(ISNUMBER('FBPQ C2'!J87),'FBPQ C2'!J87,IF(ISNUMBER('FBPQ C2'!I87),'FBPQ C2'!I87,""))</f>
        <v>173.08</v>
      </c>
      <c r="F95" s="45" t="s">
        <v>779</v>
      </c>
      <c r="G95" s="45">
        <f t="shared" si="5"/>
        <v>173.08</v>
      </c>
      <c r="H95" s="35">
        <f>IF(ISBLANK('FBPQ T4'!E87)," ",'FBPQ T4'!AE87)</f>
        <v>63.135</v>
      </c>
      <c r="I95" s="35">
        <f t="shared" si="6"/>
        <v>10927.4058</v>
      </c>
      <c r="J95" t="s">
        <v>756</v>
      </c>
      <c r="K95" s="49"/>
      <c r="L95" s="50"/>
      <c r="M95" s="49"/>
      <c r="N95" s="58"/>
      <c r="O95" s="57"/>
    </row>
    <row r="96" spans="1:15" ht="12.75">
      <c r="A96" s="39"/>
      <c r="B96" s="34"/>
      <c r="C96" s="35" t="s">
        <v>13</v>
      </c>
      <c r="D96" s="39" t="s">
        <v>634</v>
      </c>
      <c r="E96" s="6">
        <f>IF(ISNUMBER('FBPQ C2'!J88),'FBPQ C2'!J88,IF(ISNUMBER('FBPQ C2'!I88),'FBPQ C2'!I88,""))</f>
        <v>172.81</v>
      </c>
      <c r="F96" s="45" t="s">
        <v>779</v>
      </c>
      <c r="G96" s="45">
        <f t="shared" si="5"/>
        <v>172.81</v>
      </c>
      <c r="H96" s="35">
        <f>IF(ISBLANK('FBPQ T4'!E88)," ",'FBPQ T4'!AE88)</f>
        <v>34</v>
      </c>
      <c r="I96" s="35">
        <f t="shared" si="6"/>
        <v>5875.54</v>
      </c>
      <c r="J96" t="s">
        <v>756</v>
      </c>
      <c r="K96" s="49"/>
      <c r="L96" s="50"/>
      <c r="M96" s="49"/>
      <c r="N96" s="58"/>
      <c r="O96" s="57"/>
    </row>
    <row r="97" spans="1:15" ht="12.75">
      <c r="A97" s="39"/>
      <c r="B97" s="34"/>
      <c r="C97" s="35" t="s">
        <v>160</v>
      </c>
      <c r="D97" s="39" t="s">
        <v>634</v>
      </c>
      <c r="E97" s="6">
        <f>IF(ISNUMBER('FBPQ C2'!J89),'FBPQ C2'!J89,IF(ISNUMBER('FBPQ C2'!I89),'FBPQ C2'!I89,""))</f>
      </c>
      <c r="F97" s="45" t="s">
        <v>779</v>
      </c>
      <c r="G97" s="45" t="str">
        <f t="shared" si="5"/>
        <v> </v>
      </c>
      <c r="H97" s="35">
        <f>IF(ISBLANK('FBPQ T4'!E89)," ",'FBPQ T4'!AE89)</f>
        <v>0</v>
      </c>
      <c r="I97" s="35" t="str">
        <f t="shared" si="6"/>
        <v> </v>
      </c>
      <c r="J97" t="s">
        <v>756</v>
      </c>
      <c r="K97" s="49"/>
      <c r="L97" s="50"/>
      <c r="M97" s="49"/>
      <c r="N97" s="58"/>
      <c r="O97" s="57"/>
    </row>
    <row r="98" spans="1:15" ht="12.75">
      <c r="A98" s="39"/>
      <c r="B98" s="34"/>
      <c r="C98" s="35" t="s">
        <v>171</v>
      </c>
      <c r="D98" s="39" t="s">
        <v>634</v>
      </c>
      <c r="E98" s="6">
        <f>IF(ISNUMBER('FBPQ C2'!J90),'FBPQ C2'!J90,IF(ISNUMBER('FBPQ C2'!I90),'FBPQ C2'!I90,""))</f>
      </c>
      <c r="F98" s="45" t="s">
        <v>779</v>
      </c>
      <c r="G98" s="45" t="str">
        <f t="shared" si="5"/>
        <v> </v>
      </c>
      <c r="H98" s="35">
        <f>IF(ISBLANK('FBPQ T4'!E90)," ",'FBPQ T4'!AE90)</f>
        <v>0</v>
      </c>
      <c r="I98" s="35" t="str">
        <f t="shared" si="6"/>
        <v> </v>
      </c>
      <c r="J98" t="s">
        <v>756</v>
      </c>
      <c r="K98" s="49"/>
      <c r="L98" s="50"/>
      <c r="M98" s="49"/>
      <c r="N98" s="58"/>
      <c r="O98" s="57"/>
    </row>
    <row r="99" spans="1:15" ht="12.75">
      <c r="A99" s="39"/>
      <c r="B99" s="34"/>
      <c r="C99" s="35" t="s">
        <v>172</v>
      </c>
      <c r="D99" s="39" t="s">
        <v>634</v>
      </c>
      <c r="E99" s="6">
        <f>IF(ISNUMBER('FBPQ C2'!J91),'FBPQ C2'!J91,IF(ISNUMBER('FBPQ C2'!I91),'FBPQ C2'!I91,""))</f>
      </c>
      <c r="F99" s="45" t="s">
        <v>779</v>
      </c>
      <c r="G99" s="45" t="str">
        <f t="shared" si="5"/>
        <v> </v>
      </c>
      <c r="H99" s="35">
        <f>IF(ISBLANK('FBPQ T4'!E91)," ",'FBPQ T4'!AE91)</f>
        <v>0</v>
      </c>
      <c r="I99" s="35" t="str">
        <f t="shared" si="6"/>
        <v> </v>
      </c>
      <c r="J99" t="s">
        <v>756</v>
      </c>
      <c r="K99" s="49"/>
      <c r="L99" s="50"/>
      <c r="M99" s="49"/>
      <c r="N99" s="58"/>
      <c r="O99" s="59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5"/>
        <v>0</v>
      </c>
      <c r="H100" s="35" t="str">
        <f>IF(ISBLANK('FBPQ T4'!E92)," ",'FBPQ T4'!AE92)</f>
        <v> </v>
      </c>
      <c r="I100" s="35" t="str">
        <f t="shared" si="6"/>
        <v> </v>
      </c>
      <c r="J100"/>
      <c r="K100" s="49"/>
      <c r="L100" s="49"/>
      <c r="M100" s="49"/>
      <c r="N100" s="58"/>
      <c r="O100" s="59"/>
    </row>
    <row r="101" spans="1:15" ht="12.75">
      <c r="A101" s="39"/>
      <c r="B101" s="34" t="s">
        <v>637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5"/>
        <v>0</v>
      </c>
      <c r="H101" s="35" t="str">
        <f>IF(ISBLANK('FBPQ T4'!E93)," ",'FBPQ T4'!AE93)</f>
        <v> </v>
      </c>
      <c r="I101" s="35" t="str">
        <f t="shared" si="6"/>
        <v> </v>
      </c>
      <c r="J101"/>
      <c r="K101" s="49"/>
      <c r="L101" s="50"/>
      <c r="M101" s="49"/>
      <c r="N101" s="58"/>
      <c r="O101" s="57"/>
    </row>
    <row r="102" spans="1:15" ht="12.75">
      <c r="A102" s="39"/>
      <c r="B102" s="34"/>
      <c r="C102" s="35" t="s">
        <v>122</v>
      </c>
      <c r="D102" s="39" t="s">
        <v>634</v>
      </c>
      <c r="E102" s="6">
        <f>IF(ISNUMBER('FBPQ C2'!J94),'FBPQ C2'!J94,IF(ISNUMBER('FBPQ C2'!I94),'FBPQ C2'!I94,""))</f>
        <v>1136.02</v>
      </c>
      <c r="F102" s="45" t="s">
        <v>779</v>
      </c>
      <c r="G102" s="45">
        <f t="shared" si="5"/>
        <v>1136.02</v>
      </c>
      <c r="H102" s="35">
        <f>IF(ISBLANK('FBPQ T4'!E94)," ",'FBPQ T4'!AE94)</f>
        <v>66</v>
      </c>
      <c r="I102" s="35">
        <f t="shared" si="6"/>
        <v>74977.31999999999</v>
      </c>
      <c r="J102" t="s">
        <v>756</v>
      </c>
      <c r="K102" s="49"/>
      <c r="L102" s="49"/>
      <c r="M102" s="49"/>
      <c r="N102" s="58"/>
      <c r="O102" s="59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5"/>
        <v>0</v>
      </c>
      <c r="H103" s="35" t="str">
        <f>IF(ISBLANK('FBPQ T4'!E95)," ",'FBPQ T4'!AE95)</f>
        <v> </v>
      </c>
      <c r="I103" s="35" t="str">
        <f t="shared" si="6"/>
        <v> </v>
      </c>
      <c r="J103"/>
      <c r="K103" s="49"/>
      <c r="L103" s="50"/>
      <c r="M103" s="49"/>
      <c r="N103" s="58"/>
      <c r="O103" s="59"/>
    </row>
    <row r="104" spans="1:15" ht="12.75">
      <c r="A104" s="39"/>
      <c r="B104" s="34" t="s">
        <v>223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5"/>
        <v>0</v>
      </c>
      <c r="H104" s="35" t="str">
        <f>IF(ISBLANK('FBPQ T4'!E96)," ",'FBPQ T4'!AE96)</f>
        <v> </v>
      </c>
      <c r="I104" s="35" t="str">
        <f t="shared" si="6"/>
        <v> </v>
      </c>
      <c r="J104"/>
      <c r="K104" s="49"/>
      <c r="L104" s="50"/>
      <c r="M104" s="49"/>
      <c r="N104" s="58"/>
      <c r="O104" s="57"/>
    </row>
    <row r="105" spans="1:15" ht="12.75">
      <c r="A105" s="39"/>
      <c r="B105" s="34"/>
      <c r="C105" s="35" t="s">
        <v>123</v>
      </c>
      <c r="D105" s="39" t="s">
        <v>607</v>
      </c>
      <c r="E105" s="6">
        <f>IF(ISNUMBER('FBPQ C2'!J97),'FBPQ C2'!J97,IF(ISNUMBER('FBPQ C2'!I97),'FBPQ C2'!I97,""))</f>
        <v>66.59</v>
      </c>
      <c r="F105" s="45" t="s">
        <v>779</v>
      </c>
      <c r="G105" s="45">
        <f t="shared" si="5"/>
        <v>66.59</v>
      </c>
      <c r="H105" s="35">
        <f>IF(ISBLANK('FBPQ T4'!E97)," ",'FBPQ T4'!AE97)</f>
        <v>296</v>
      </c>
      <c r="I105" s="35">
        <f t="shared" si="6"/>
        <v>19710.64</v>
      </c>
      <c r="J105" t="s">
        <v>761</v>
      </c>
      <c r="K105" s="49"/>
      <c r="L105" s="50"/>
      <c r="M105" s="63"/>
      <c r="N105" s="58"/>
      <c r="O105" s="57"/>
    </row>
    <row r="106" spans="1:15" ht="12.75">
      <c r="A106" s="39"/>
      <c r="B106" s="34"/>
      <c r="C106" s="35" t="s">
        <v>124</v>
      </c>
      <c r="D106" s="39" t="s">
        <v>607</v>
      </c>
      <c r="E106" s="6">
        <f>IF(ISNUMBER('FBPQ C2'!J98),'FBPQ C2'!J98,IF(ISNUMBER('FBPQ C2'!I98),'FBPQ C2'!I98,""))</f>
        <v>51.19</v>
      </c>
      <c r="F106" s="45" t="s">
        <v>779</v>
      </c>
      <c r="G106" s="45">
        <f t="shared" si="5"/>
        <v>51.19</v>
      </c>
      <c r="H106" s="35">
        <f>IF(ISBLANK('FBPQ T4'!E98)," ",'FBPQ T4'!AE98)</f>
        <v>675</v>
      </c>
      <c r="I106" s="35">
        <f t="shared" si="6"/>
        <v>34553.25</v>
      </c>
      <c r="J106" t="s">
        <v>761</v>
      </c>
      <c r="K106" s="49"/>
      <c r="L106" s="50"/>
      <c r="M106" s="63"/>
      <c r="N106" s="58"/>
      <c r="O106" s="57"/>
    </row>
    <row r="107" spans="1:15" ht="12.75">
      <c r="A107" s="39"/>
      <c r="B107" s="34"/>
      <c r="C107" s="35" t="s">
        <v>125</v>
      </c>
      <c r="D107" s="39" t="s">
        <v>607</v>
      </c>
      <c r="E107" s="6">
        <f>IF(ISNUMBER('FBPQ C2'!J99),'FBPQ C2'!J99,IF(ISNUMBER('FBPQ C2'!I99),'FBPQ C2'!I99,""))</f>
        <v>33.12</v>
      </c>
      <c r="F107" s="45" t="s">
        <v>779</v>
      </c>
      <c r="G107" s="45">
        <f t="shared" si="5"/>
        <v>33.12</v>
      </c>
      <c r="H107" s="35">
        <f>IF(ISBLANK('FBPQ T4'!E99)," ",'FBPQ T4'!AE99)</f>
        <v>14</v>
      </c>
      <c r="I107" s="35">
        <f t="shared" si="6"/>
        <v>463.67999999999995</v>
      </c>
      <c r="J107" t="s">
        <v>761</v>
      </c>
      <c r="K107" s="49"/>
      <c r="L107" s="50"/>
      <c r="M107" s="63"/>
      <c r="N107" s="58"/>
      <c r="O107" s="57"/>
    </row>
    <row r="108" spans="1:15" ht="12.75">
      <c r="A108" s="39"/>
      <c r="B108" s="34"/>
      <c r="C108" s="35" t="s">
        <v>126</v>
      </c>
      <c r="D108" s="39" t="s">
        <v>607</v>
      </c>
      <c r="E108" s="6">
        <f>IF(ISNUMBER('FBPQ C2'!J100),'FBPQ C2'!J100,IF(ISNUMBER('FBPQ C2'!I100),'FBPQ C2'!I100,""))</f>
      </c>
      <c r="F108" s="45" t="s">
        <v>779</v>
      </c>
      <c r="G108" s="45" t="str">
        <f t="shared" si="5"/>
        <v> </v>
      </c>
      <c r="H108" s="35">
        <f>IF(ISBLANK('FBPQ T4'!E100)," ",'FBPQ T4'!AE100)</f>
        <v>0</v>
      </c>
      <c r="I108" s="35" t="str">
        <f t="shared" si="6"/>
        <v> </v>
      </c>
      <c r="J108" t="s">
        <v>761</v>
      </c>
      <c r="K108" s="49"/>
      <c r="L108" s="50"/>
      <c r="M108" s="63"/>
      <c r="N108" s="58"/>
      <c r="O108" s="57"/>
    </row>
    <row r="109" spans="1:15" ht="12.75">
      <c r="A109" s="39"/>
      <c r="B109" s="34"/>
      <c r="C109" s="35" t="s">
        <v>127</v>
      </c>
      <c r="D109" s="39" t="s">
        <v>607</v>
      </c>
      <c r="E109" s="6">
        <f>IF(ISNUMBER('FBPQ C2'!J101),'FBPQ C2'!J101,IF(ISNUMBER('FBPQ C2'!I101),'FBPQ C2'!I101,""))</f>
      </c>
      <c r="F109" s="45" t="s">
        <v>779</v>
      </c>
      <c r="G109" s="45" t="str">
        <f t="shared" si="5"/>
        <v>DATA</v>
      </c>
      <c r="H109" s="35">
        <f>IF(ISBLANK('FBPQ T4'!E101)," ",'FBPQ T4'!AE101)</f>
        <v>2</v>
      </c>
      <c r="I109" s="35" t="str">
        <f t="shared" si="6"/>
        <v> </v>
      </c>
      <c r="J109" t="s">
        <v>761</v>
      </c>
      <c r="K109" s="49"/>
      <c r="L109" s="50"/>
      <c r="M109" s="63"/>
      <c r="N109" s="58"/>
      <c r="O109" s="60"/>
    </row>
    <row r="110" spans="1:15" ht="12.75">
      <c r="A110" s="39"/>
      <c r="B110" s="34"/>
      <c r="C110" s="35" t="s">
        <v>128</v>
      </c>
      <c r="D110" s="39" t="s">
        <v>607</v>
      </c>
      <c r="E110" s="6">
        <f>IF(ISNUMBER('FBPQ C2'!J102),'FBPQ C2'!J102,IF(ISNUMBER('FBPQ C2'!I102),'FBPQ C2'!I102,""))</f>
      </c>
      <c r="F110" s="45" t="s">
        <v>779</v>
      </c>
      <c r="G110" s="45" t="str">
        <f t="shared" si="5"/>
        <v>DATA</v>
      </c>
      <c r="H110" s="35">
        <f>IF(ISBLANK('FBPQ T4'!E102)," ",'FBPQ T4'!AE102)</f>
        <v>3273</v>
      </c>
      <c r="I110" s="35" t="str">
        <f t="shared" si="6"/>
        <v> </v>
      </c>
      <c r="J110" t="s">
        <v>760</v>
      </c>
      <c r="K110" s="49"/>
      <c r="L110" s="50"/>
      <c r="M110" s="63"/>
      <c r="N110" s="58"/>
      <c r="O110" s="57"/>
    </row>
    <row r="111" spans="1:15" ht="12.75">
      <c r="A111" s="39"/>
      <c r="B111" s="34"/>
      <c r="C111" s="35" t="s">
        <v>129</v>
      </c>
      <c r="D111" s="39" t="s">
        <v>607</v>
      </c>
      <c r="E111" s="6">
        <f>IF(ISNUMBER('FBPQ C2'!J103),'FBPQ C2'!J103,IF(ISNUMBER('FBPQ C2'!I103),'FBPQ C2'!I103,""))</f>
      </c>
      <c r="F111" s="45" t="s">
        <v>779</v>
      </c>
      <c r="G111" s="45" t="str">
        <f t="shared" si="5"/>
        <v> </v>
      </c>
      <c r="H111" s="35">
        <f>IF(ISBLANK('FBPQ T4'!E103)," ",'FBPQ T4'!AE103)</f>
        <v>0</v>
      </c>
      <c r="I111" s="35" t="str">
        <f t="shared" si="6"/>
        <v> </v>
      </c>
      <c r="J111" t="s">
        <v>761</v>
      </c>
      <c r="K111" s="49"/>
      <c r="L111" s="50"/>
      <c r="M111" s="63"/>
      <c r="N111" s="58"/>
      <c r="O111" s="60"/>
    </row>
    <row r="112" spans="1:15" ht="12.75">
      <c r="A112" s="39"/>
      <c r="B112" s="34"/>
      <c r="C112" s="35" t="s">
        <v>130</v>
      </c>
      <c r="D112" s="39" t="s">
        <v>607</v>
      </c>
      <c r="E112" s="6">
        <f>IF(ISNUMBER('FBPQ C2'!J104),'FBPQ C2'!J104,IF(ISNUMBER('FBPQ C2'!I104),'FBPQ C2'!I104,""))</f>
      </c>
      <c r="F112" s="45" t="s">
        <v>779</v>
      </c>
      <c r="G112" s="45" t="str">
        <f t="shared" si="5"/>
        <v> </v>
      </c>
      <c r="H112" s="35">
        <f>IF(ISBLANK('FBPQ T4'!E104)," ",'FBPQ T4'!AE104)</f>
        <v>0</v>
      </c>
      <c r="I112" s="35" t="str">
        <f t="shared" si="6"/>
        <v> </v>
      </c>
      <c r="J112" t="s">
        <v>760</v>
      </c>
      <c r="K112" s="49"/>
      <c r="L112" s="50"/>
      <c r="M112" s="63"/>
      <c r="N112" s="58"/>
      <c r="O112" s="59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5"/>
        <v>0</v>
      </c>
      <c r="H113" s="35" t="str">
        <f>IF(ISBLANK('FBPQ T4'!E105)," ",'FBPQ T4'!AE105)</f>
        <v> </v>
      </c>
      <c r="I113" s="35" t="str">
        <f t="shared" si="6"/>
        <v> </v>
      </c>
      <c r="J113"/>
      <c r="K113" s="49"/>
      <c r="L113" s="50"/>
      <c r="M113" s="49"/>
      <c r="N113" s="58"/>
      <c r="O113" s="59"/>
    </row>
    <row r="114" spans="1:15" ht="12.75">
      <c r="A114" s="39"/>
      <c r="B114" s="34" t="s">
        <v>258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5"/>
        <v>0</v>
      </c>
      <c r="H114" s="35" t="str">
        <f>IF(ISBLANK('FBPQ T4'!E106)," ",'FBPQ T4'!AE106)</f>
        <v> </v>
      </c>
      <c r="I114" s="35" t="str">
        <f t="shared" si="6"/>
        <v> </v>
      </c>
      <c r="J114"/>
      <c r="K114" s="49"/>
      <c r="L114" s="50"/>
      <c r="M114" s="49"/>
      <c r="N114" s="58"/>
      <c r="O114" s="57"/>
    </row>
    <row r="115" spans="1:15" ht="12.75">
      <c r="A115" s="39"/>
      <c r="B115" s="34"/>
      <c r="C115" s="35" t="s">
        <v>131</v>
      </c>
      <c r="D115" s="39" t="s">
        <v>607</v>
      </c>
      <c r="E115" s="6">
        <f>IF(ISNUMBER('FBPQ C2'!J107),'FBPQ C2'!J107,IF(ISNUMBER('FBPQ C2'!I107),'FBPQ C2'!I107,""))</f>
      </c>
      <c r="F115" s="45" t="s">
        <v>779</v>
      </c>
      <c r="G115" s="45" t="str">
        <f t="shared" si="5"/>
        <v>DATA</v>
      </c>
      <c r="H115" s="35">
        <f>IF(ISBLANK('FBPQ T4'!E107)," ",'FBPQ T4'!AE107)</f>
        <v>1</v>
      </c>
      <c r="I115" s="35" t="str">
        <f t="shared" si="6"/>
        <v> </v>
      </c>
      <c r="J115" t="s">
        <v>760</v>
      </c>
      <c r="K115" s="49"/>
      <c r="L115" s="49"/>
      <c r="M115" s="63"/>
      <c r="N115" s="58"/>
      <c r="O115" s="57"/>
    </row>
    <row r="116" spans="1:15" ht="12.75">
      <c r="A116" s="39"/>
      <c r="B116" s="34"/>
      <c r="C116" s="35" t="s">
        <v>132</v>
      </c>
      <c r="D116" s="39" t="s">
        <v>607</v>
      </c>
      <c r="E116" s="6">
        <f>IF(ISNUMBER('FBPQ C2'!J108),'FBPQ C2'!J108,IF(ISNUMBER('FBPQ C2'!I108),'FBPQ C2'!I108,""))</f>
        <v>261.25</v>
      </c>
      <c r="F116" s="45" t="s">
        <v>779</v>
      </c>
      <c r="G116" s="45">
        <f aca="true" t="shared" si="7" ref="G116:G147">IF(ISNUMBER(E116),E116,IF(H116&gt;0,F116," "))</f>
        <v>261.25</v>
      </c>
      <c r="H116" s="35">
        <f>IF(ISBLANK('FBPQ T4'!E108)," ",'FBPQ T4'!AE108)</f>
        <v>587</v>
      </c>
      <c r="I116" s="35">
        <f t="shared" si="6"/>
        <v>153353.75</v>
      </c>
      <c r="J116" t="s">
        <v>760</v>
      </c>
      <c r="K116" s="49"/>
      <c r="L116" s="49"/>
      <c r="M116" s="63"/>
      <c r="N116" s="58"/>
      <c r="O116" s="60"/>
    </row>
    <row r="117" spans="1:15" ht="12.75">
      <c r="A117" s="39"/>
      <c r="B117" s="34"/>
      <c r="C117" s="35" t="s">
        <v>16</v>
      </c>
      <c r="D117" s="39" t="s">
        <v>607</v>
      </c>
      <c r="E117" s="6">
        <f>IF(ISNUMBER('FBPQ C2'!J109),'FBPQ C2'!J109,IF(ISNUMBER('FBPQ C2'!I109),'FBPQ C2'!I109,""))</f>
      </c>
      <c r="F117" s="45" t="s">
        <v>779</v>
      </c>
      <c r="G117" s="45" t="str">
        <f t="shared" si="7"/>
        <v>DATA</v>
      </c>
      <c r="H117" s="35">
        <f>IF(ISBLANK('FBPQ T4'!E109)," ",'FBPQ T4'!AE109)</f>
        <v>189</v>
      </c>
      <c r="I117" s="35" t="str">
        <f t="shared" si="6"/>
        <v> </v>
      </c>
      <c r="J117" t="s">
        <v>760</v>
      </c>
      <c r="K117" s="49"/>
      <c r="L117" s="49"/>
      <c r="M117" s="49"/>
      <c r="N117" s="58"/>
      <c r="O117" s="57"/>
    </row>
    <row r="118" spans="1:15" ht="12.75">
      <c r="A118" s="39"/>
      <c r="B118" s="34"/>
      <c r="C118" s="35" t="s">
        <v>304</v>
      </c>
      <c r="D118" s="39" t="s">
        <v>607</v>
      </c>
      <c r="E118" s="6">
        <f>IF(ISNUMBER('FBPQ C2'!J110),'FBPQ C2'!J110,IF(ISNUMBER('FBPQ C2'!I110),'FBPQ C2'!I110,""))</f>
      </c>
      <c r="F118" s="45" t="s">
        <v>779</v>
      </c>
      <c r="G118" s="45" t="str">
        <f t="shared" si="7"/>
        <v> </v>
      </c>
      <c r="H118" s="35">
        <f>IF(ISBLANK('FBPQ T4'!E110)," ",'FBPQ T4'!AE110)</f>
        <v>0</v>
      </c>
      <c r="I118" s="35" t="str">
        <f t="shared" si="6"/>
        <v> </v>
      </c>
      <c r="J118" t="s">
        <v>760</v>
      </c>
      <c r="K118" s="49"/>
      <c r="L118" s="49"/>
      <c r="M118" s="63"/>
      <c r="N118" s="58"/>
      <c r="O118" s="60"/>
    </row>
    <row r="119" spans="1:15" ht="12.75">
      <c r="A119" s="39"/>
      <c r="B119" s="34"/>
      <c r="C119" s="35" t="s">
        <v>305</v>
      </c>
      <c r="D119" s="39" t="s">
        <v>607</v>
      </c>
      <c r="E119" s="6">
        <f>IF(ISNUMBER('FBPQ C2'!J111),'FBPQ C2'!J111,IF(ISNUMBER('FBPQ C2'!I111),'FBPQ C2'!I111,""))</f>
      </c>
      <c r="F119" s="45" t="s">
        <v>779</v>
      </c>
      <c r="G119" s="45" t="str">
        <f t="shared" si="7"/>
        <v> </v>
      </c>
      <c r="H119" s="35">
        <f>IF(ISBLANK('FBPQ T4'!E111)," ",'FBPQ T4'!AE111)</f>
        <v>0</v>
      </c>
      <c r="I119" s="35" t="str">
        <f t="shared" si="6"/>
        <v> </v>
      </c>
      <c r="J119" t="s">
        <v>760</v>
      </c>
      <c r="K119" s="49"/>
      <c r="L119" s="50"/>
      <c r="M119" s="49"/>
      <c r="N119" s="58"/>
      <c r="O119" s="59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7"/>
        <v>0</v>
      </c>
      <c r="H120" s="35" t="str">
        <f>IF(ISBLANK('FBPQ T4'!E112)," ",'FBPQ T4'!AE112)</f>
        <v> </v>
      </c>
      <c r="I120" s="35" t="str">
        <f t="shared" si="6"/>
        <v> </v>
      </c>
      <c r="J120"/>
      <c r="K120" s="61"/>
      <c r="L120" s="61"/>
      <c r="M120" s="61"/>
      <c r="N120" s="62"/>
      <c r="O120" s="59"/>
    </row>
    <row r="121" spans="1:15" ht="12.75">
      <c r="A121" s="39" t="s">
        <v>306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7"/>
        <v>0</v>
      </c>
      <c r="H121" s="35" t="str">
        <f>IF(ISBLANK('FBPQ T4'!E113)," ",'FBPQ T4'!AE113)</f>
        <v> </v>
      </c>
      <c r="I121" s="35" t="str">
        <f t="shared" si="6"/>
        <v> </v>
      </c>
      <c r="J121"/>
      <c r="K121" s="48"/>
      <c r="L121" s="48"/>
      <c r="M121" s="63"/>
      <c r="N121" s="58"/>
      <c r="O121" s="59"/>
    </row>
    <row r="122" spans="1:15" ht="12.75">
      <c r="A122" s="39"/>
      <c r="B122" s="34" t="s">
        <v>644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7"/>
        <v>0</v>
      </c>
      <c r="H122" s="35" t="str">
        <f>IF(ISBLANK('FBPQ T4'!E114)," ",'FBPQ T4'!AE114)</f>
        <v> </v>
      </c>
      <c r="I122" s="35" t="str">
        <f t="shared" si="6"/>
        <v> </v>
      </c>
      <c r="J122"/>
      <c r="K122" s="49"/>
      <c r="L122" s="50"/>
      <c r="M122" s="49"/>
      <c r="N122" s="58"/>
      <c r="O122" s="57"/>
    </row>
    <row r="123" spans="1:15" ht="12.75">
      <c r="A123" s="39"/>
      <c r="B123" s="34"/>
      <c r="C123" s="35" t="s">
        <v>307</v>
      </c>
      <c r="D123" s="39" t="s">
        <v>634</v>
      </c>
      <c r="E123" s="6">
        <f>IF(ISNUMBER('FBPQ C2'!J115),'FBPQ C2'!J115,IF(ISNUMBER('FBPQ C2'!I115),'FBPQ C2'!I115,""))</f>
        <v>59.21</v>
      </c>
      <c r="F123" s="45" t="s">
        <v>779</v>
      </c>
      <c r="G123" s="45">
        <f t="shared" si="7"/>
        <v>59.21</v>
      </c>
      <c r="H123" s="35">
        <f>IF(ISBLANK('FBPQ T4'!E115)," ",'FBPQ T4'!AE115)</f>
        <v>62.1</v>
      </c>
      <c r="I123" s="35">
        <f t="shared" si="6"/>
        <v>3676.9410000000003</v>
      </c>
      <c r="J123" t="s">
        <v>754</v>
      </c>
      <c r="K123" s="49"/>
      <c r="L123" s="50"/>
      <c r="M123" s="49"/>
      <c r="N123" s="58"/>
      <c r="O123" s="57"/>
    </row>
    <row r="124" spans="1:15" ht="12.75">
      <c r="A124" s="39"/>
      <c r="B124" s="34"/>
      <c r="C124" s="35" t="s">
        <v>308</v>
      </c>
      <c r="D124" s="39" t="s">
        <v>634</v>
      </c>
      <c r="E124" s="6">
        <f>IF(ISNUMBER('FBPQ C2'!J116),'FBPQ C2'!J116,IF(ISNUMBER('FBPQ C2'!I116),'FBPQ C2'!I116,""))</f>
        <v>53.46</v>
      </c>
      <c r="F124" s="45" t="s">
        <v>779</v>
      </c>
      <c r="G124" s="45">
        <f t="shared" si="7"/>
        <v>53.46</v>
      </c>
      <c r="H124" s="35">
        <f>IF(ISBLANK('FBPQ T4'!E116)," ",'FBPQ T4'!AE116)</f>
        <v>1382</v>
      </c>
      <c r="I124" s="35">
        <f t="shared" si="6"/>
        <v>73881.72</v>
      </c>
      <c r="J124" t="s">
        <v>754</v>
      </c>
      <c r="K124" s="49"/>
      <c r="L124" s="50"/>
      <c r="M124" s="49"/>
      <c r="N124" s="58"/>
      <c r="O124" s="59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7"/>
        <v>0</v>
      </c>
      <c r="H125" s="35" t="str">
        <f>IF(ISBLANK('FBPQ T4'!E117)," ",'FBPQ T4'!AE117)</f>
        <v> </v>
      </c>
      <c r="I125" s="35" t="str">
        <f t="shared" si="6"/>
        <v> </v>
      </c>
      <c r="J125"/>
      <c r="K125" s="49"/>
      <c r="L125" s="50"/>
      <c r="M125" s="63"/>
      <c r="N125" s="58"/>
      <c r="O125" s="59"/>
    </row>
    <row r="126" spans="1:15" ht="12.75">
      <c r="A126" s="39"/>
      <c r="B126" s="34" t="s">
        <v>608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7"/>
        <v>0</v>
      </c>
      <c r="H126" s="35" t="str">
        <f>IF(ISBLANK('FBPQ T4'!E118)," ",'FBPQ T4'!AE118)</f>
        <v> </v>
      </c>
      <c r="I126" s="35" t="str">
        <f t="shared" si="6"/>
        <v> </v>
      </c>
      <c r="J126"/>
      <c r="K126" s="49"/>
      <c r="L126" s="50"/>
      <c r="M126" s="49"/>
      <c r="N126" s="58"/>
      <c r="O126" s="57"/>
    </row>
    <row r="127" spans="1:15" ht="12.75">
      <c r="A127" s="39"/>
      <c r="B127" s="34"/>
      <c r="C127" s="35" t="s">
        <v>309</v>
      </c>
      <c r="D127" s="39" t="s">
        <v>607</v>
      </c>
      <c r="E127" s="6">
        <f>IF(ISNUMBER('FBPQ C2'!J119),'FBPQ C2'!J119,IF(ISNUMBER('FBPQ C2'!I119),'FBPQ C2'!I119,""))</f>
        <v>3.55</v>
      </c>
      <c r="F127" s="45" t="s">
        <v>779</v>
      </c>
      <c r="G127" s="45">
        <f t="shared" si="7"/>
        <v>3.55</v>
      </c>
      <c r="H127" s="35">
        <f>IF(ISBLANK('FBPQ T4'!E119)," ",'FBPQ T4'!AE119)</f>
        <v>558</v>
      </c>
      <c r="I127" s="35">
        <f t="shared" si="6"/>
        <v>1980.8999999999999</v>
      </c>
      <c r="J127" t="s">
        <v>754</v>
      </c>
      <c r="K127" s="49"/>
      <c r="L127" s="50"/>
      <c r="M127" s="49"/>
      <c r="N127" s="58"/>
      <c r="O127" s="57"/>
    </row>
    <row r="128" spans="1:15" ht="12.75">
      <c r="A128" s="39"/>
      <c r="B128" s="34"/>
      <c r="C128" s="35" t="s">
        <v>310</v>
      </c>
      <c r="D128" s="39" t="s">
        <v>607</v>
      </c>
      <c r="E128" s="6">
        <f>IF(ISNUMBER('FBPQ C2'!J120),'FBPQ C2'!J120,IF(ISNUMBER('FBPQ C2'!I120),'FBPQ C2'!I120,""))</f>
        <v>98.34</v>
      </c>
      <c r="F128" s="45" t="s">
        <v>779</v>
      </c>
      <c r="G128" s="45">
        <f t="shared" si="7"/>
        <v>98.34</v>
      </c>
      <c r="H128" s="35">
        <f>IF(ISBLANK('FBPQ T4'!E120)," ",'FBPQ T4'!AE120)</f>
        <v>3100</v>
      </c>
      <c r="I128" s="35">
        <f t="shared" si="6"/>
        <v>304854</v>
      </c>
      <c r="J128" t="s">
        <v>754</v>
      </c>
      <c r="K128" s="49"/>
      <c r="L128" s="50"/>
      <c r="M128" s="49"/>
      <c r="N128" s="58"/>
      <c r="O128" s="57"/>
    </row>
    <row r="129" spans="1:15" ht="12.75">
      <c r="A129" s="39"/>
      <c r="B129" s="34"/>
      <c r="C129" s="35" t="s">
        <v>185</v>
      </c>
      <c r="D129" s="39" t="s">
        <v>607</v>
      </c>
      <c r="E129" s="6">
        <f>IF(ISNUMBER('FBPQ C2'!J121),'FBPQ C2'!J121,IF(ISNUMBER('FBPQ C2'!I121),'FBPQ C2'!I121,""))</f>
        <v>3.74</v>
      </c>
      <c r="F129" s="45" t="s">
        <v>779</v>
      </c>
      <c r="G129" s="45">
        <f t="shared" si="7"/>
        <v>3.74</v>
      </c>
      <c r="H129" s="35">
        <f>IF(ISBLANK('FBPQ T4'!E121)," ",'FBPQ T4'!AE121)</f>
        <v>4710</v>
      </c>
      <c r="I129" s="35">
        <f t="shared" si="6"/>
        <v>17615.4</v>
      </c>
      <c r="J129" t="s">
        <v>754</v>
      </c>
      <c r="K129" s="49"/>
      <c r="L129" s="50"/>
      <c r="M129" s="63"/>
      <c r="N129" s="58"/>
      <c r="O129" s="59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7"/>
        <v>0</v>
      </c>
      <c r="H130" s="35" t="str">
        <f>IF(ISBLANK('FBPQ T4'!E122)," ",'FBPQ T4'!AE122)</f>
        <v> </v>
      </c>
      <c r="I130" s="35" t="str">
        <f t="shared" si="6"/>
        <v> </v>
      </c>
      <c r="J130"/>
      <c r="K130" s="49"/>
      <c r="L130" s="49"/>
      <c r="M130" s="49"/>
      <c r="N130" s="58"/>
      <c r="O130" s="59"/>
    </row>
    <row r="131" spans="1:15" ht="12.75">
      <c r="A131" s="39"/>
      <c r="B131" s="34" t="s">
        <v>504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7"/>
        <v>0</v>
      </c>
      <c r="H131" s="35" t="str">
        <f>IF(ISBLANK('FBPQ T4'!E123)," ",'FBPQ T4'!AE123)</f>
        <v> </v>
      </c>
      <c r="I131" s="35" t="str">
        <f t="shared" si="6"/>
        <v> </v>
      </c>
      <c r="J131"/>
      <c r="K131" s="49"/>
      <c r="L131" s="50"/>
      <c r="M131" s="49"/>
      <c r="N131" s="58"/>
      <c r="O131" s="57"/>
    </row>
    <row r="132" spans="1:15" ht="12.75">
      <c r="A132" s="39"/>
      <c r="B132" s="34"/>
      <c r="C132" s="35" t="s">
        <v>315</v>
      </c>
      <c r="D132" s="39" t="s">
        <v>634</v>
      </c>
      <c r="E132" s="6">
        <f>IF(ISNUMBER('FBPQ C2'!J124),'FBPQ C2'!J124,IF(ISNUMBER('FBPQ C2'!I124),'FBPQ C2'!I124,""))</f>
        <v>1191.4</v>
      </c>
      <c r="F132" s="45" t="s">
        <v>779</v>
      </c>
      <c r="G132" s="45">
        <f t="shared" si="7"/>
        <v>1191.4</v>
      </c>
      <c r="H132" s="35">
        <f>IF(ISBLANK('FBPQ T4'!E124)," ",'FBPQ T4'!AE124)</f>
        <v>7.93</v>
      </c>
      <c r="I132" s="35">
        <f t="shared" si="6"/>
        <v>9447.802</v>
      </c>
      <c r="J132" t="s">
        <v>754</v>
      </c>
      <c r="K132" s="49"/>
      <c r="L132" s="49"/>
      <c r="M132" s="49"/>
      <c r="N132" s="58"/>
      <c r="O132" s="57"/>
    </row>
    <row r="133" spans="1:15" ht="12.75">
      <c r="A133" s="39"/>
      <c r="B133" s="34"/>
      <c r="C133" s="35" t="s">
        <v>440</v>
      </c>
      <c r="D133" s="39" t="s">
        <v>634</v>
      </c>
      <c r="E133" s="6">
        <f>IF(ISNUMBER('FBPQ C2'!J125),'FBPQ C2'!J125,IF(ISNUMBER('FBPQ C2'!I125),'FBPQ C2'!I125,""))</f>
        <v>1325.5</v>
      </c>
      <c r="F133" s="45" t="s">
        <v>779</v>
      </c>
      <c r="G133" s="45">
        <f t="shared" si="7"/>
        <v>1325.5</v>
      </c>
      <c r="H133" s="35">
        <f>IF(ISBLANK('FBPQ T4'!E125)," ",'FBPQ T4'!AE125)</f>
        <v>67.5</v>
      </c>
      <c r="I133" s="35">
        <f t="shared" si="6"/>
        <v>89471.25</v>
      </c>
      <c r="J133" t="s">
        <v>754</v>
      </c>
      <c r="K133" s="49"/>
      <c r="L133" s="49"/>
      <c r="M133" s="49"/>
      <c r="N133" s="58"/>
      <c r="O133" s="57"/>
    </row>
    <row r="134" spans="1:15" ht="12.75">
      <c r="A134" s="39"/>
      <c r="B134" s="34"/>
      <c r="C134" s="35" t="s">
        <v>405</v>
      </c>
      <c r="D134" s="39" t="s">
        <v>634</v>
      </c>
      <c r="E134" s="6">
        <f>IF(ISNUMBER('FBPQ C2'!J126),'FBPQ C2'!J126,IF(ISNUMBER('FBPQ C2'!I126),'FBPQ C2'!I126,""))</f>
      </c>
      <c r="F134" s="45" t="s">
        <v>779</v>
      </c>
      <c r="G134" s="45" t="str">
        <f t="shared" si="7"/>
        <v> </v>
      </c>
      <c r="H134" s="35">
        <f>IF(ISBLANK('FBPQ T4'!E126)," ",'FBPQ T4'!AE126)</f>
        <v>0</v>
      </c>
      <c r="I134" s="35" t="str">
        <f t="shared" si="6"/>
        <v> </v>
      </c>
      <c r="J134" t="s">
        <v>754</v>
      </c>
      <c r="K134" s="49"/>
      <c r="L134" s="49"/>
      <c r="M134" s="49"/>
      <c r="N134" s="58"/>
      <c r="O134" s="59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7"/>
        <v>0</v>
      </c>
      <c r="H135" s="35" t="str">
        <f>IF(ISBLANK('FBPQ T4'!E127)," ",'FBPQ T4'!AE127)</f>
        <v> </v>
      </c>
      <c r="I135" s="35" t="str">
        <f t="shared" si="6"/>
        <v> </v>
      </c>
      <c r="J135"/>
      <c r="K135" s="49"/>
      <c r="L135" s="49"/>
      <c r="M135" s="49"/>
      <c r="N135" s="55"/>
      <c r="O135" s="59"/>
    </row>
    <row r="136" spans="1:15" ht="12.75">
      <c r="A136" s="39"/>
      <c r="B136" s="34" t="s">
        <v>637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7"/>
        <v>0</v>
      </c>
      <c r="H136" s="35" t="str">
        <f>IF(ISBLANK('FBPQ T4'!E128)," ",'FBPQ T4'!AE128)</f>
        <v> </v>
      </c>
      <c r="I136" s="35" t="str">
        <f t="shared" si="6"/>
        <v> </v>
      </c>
      <c r="J136"/>
      <c r="K136" s="49"/>
      <c r="L136" s="50"/>
      <c r="M136" s="49"/>
      <c r="N136" s="55"/>
      <c r="O136" s="57"/>
    </row>
    <row r="137" spans="1:15" ht="12.75">
      <c r="A137" s="39"/>
      <c r="B137" s="34"/>
      <c r="C137" s="35" t="s">
        <v>406</v>
      </c>
      <c r="D137" s="39" t="s">
        <v>634</v>
      </c>
      <c r="E137" s="6">
        <f>IF(ISNUMBER('FBPQ C2'!J129),'FBPQ C2'!J129,IF(ISNUMBER('FBPQ C2'!I129),'FBPQ C2'!I129,""))</f>
      </c>
      <c r="F137" s="45" t="s">
        <v>779</v>
      </c>
      <c r="G137" s="45" t="str">
        <f t="shared" si="7"/>
        <v> </v>
      </c>
      <c r="H137" s="35">
        <f>IF(ISBLANK('FBPQ T4'!E129)," ",'FBPQ T4'!AE129)</f>
        <v>0</v>
      </c>
      <c r="I137" s="35" t="str">
        <f t="shared" si="6"/>
        <v> </v>
      </c>
      <c r="J137" t="s">
        <v>754</v>
      </c>
      <c r="K137" s="49"/>
      <c r="L137" s="49"/>
      <c r="M137" s="63"/>
      <c r="N137" s="58"/>
      <c r="O137" s="59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7"/>
        <v>0</v>
      </c>
      <c r="H138" s="35" t="str">
        <f>IF(ISBLANK('FBPQ T4'!E130)," ",'FBPQ T4'!AE130)</f>
        <v> </v>
      </c>
      <c r="I138" s="35" t="str">
        <f t="shared" si="6"/>
        <v> </v>
      </c>
      <c r="J138"/>
      <c r="K138" s="49"/>
      <c r="L138" s="49"/>
      <c r="M138" s="49"/>
      <c r="N138" s="55"/>
      <c r="O138" s="59"/>
    </row>
    <row r="139" spans="1:15" ht="12.75">
      <c r="A139" s="39"/>
      <c r="B139" s="34" t="s">
        <v>223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7"/>
        <v>0</v>
      </c>
      <c r="H139" s="35" t="str">
        <f>IF(ISBLANK('FBPQ T4'!E131)," ",'FBPQ T4'!AE131)</f>
        <v> </v>
      </c>
      <c r="I139" s="35" t="str">
        <f t="shared" si="6"/>
        <v> </v>
      </c>
      <c r="J139"/>
      <c r="K139" s="49"/>
      <c r="L139" s="50"/>
      <c r="M139" s="49"/>
      <c r="N139" s="55"/>
      <c r="O139" s="57"/>
    </row>
    <row r="140" spans="1:15" ht="12.75">
      <c r="A140" s="39"/>
      <c r="B140" s="34"/>
      <c r="C140" s="35" t="s">
        <v>407</v>
      </c>
      <c r="D140" s="39" t="s">
        <v>607</v>
      </c>
      <c r="E140" s="6">
        <f>IF(ISNUMBER('FBPQ C2'!J132),'FBPQ C2'!J132,IF(ISNUMBER('FBPQ C2'!I132),'FBPQ C2'!I132,""))</f>
        <v>147.02</v>
      </c>
      <c r="F140" s="45" t="s">
        <v>779</v>
      </c>
      <c r="G140" s="45">
        <f t="shared" si="7"/>
        <v>147.02</v>
      </c>
      <c r="H140" s="35">
        <f>IF(ISBLANK('FBPQ T4'!E132)," ",'FBPQ T4'!AE132)</f>
        <v>153</v>
      </c>
      <c r="I140" s="35">
        <f t="shared" si="6"/>
        <v>22494.06</v>
      </c>
      <c r="J140" t="s">
        <v>754</v>
      </c>
      <c r="K140" s="49"/>
      <c r="L140" s="49"/>
      <c r="M140" s="49"/>
      <c r="N140" s="58"/>
      <c r="O140" s="60"/>
    </row>
    <row r="141" spans="1:15" ht="12.75">
      <c r="A141" s="39"/>
      <c r="B141" s="34"/>
      <c r="C141" s="35" t="s">
        <v>535</v>
      </c>
      <c r="D141" s="39" t="s">
        <v>607</v>
      </c>
      <c r="E141" s="6">
        <f>IF(ISNUMBER('FBPQ C2'!J133),'FBPQ C2'!J133,IF(ISNUMBER('FBPQ C2'!I133),'FBPQ C2'!I133,""))</f>
      </c>
      <c r="F141" s="45" t="s">
        <v>779</v>
      </c>
      <c r="G141" s="45" t="str">
        <f t="shared" si="7"/>
        <v>DATA</v>
      </c>
      <c r="H141" s="35">
        <f>IF(ISBLANK('FBPQ T4'!E133)," ",'FBPQ T4'!AE133)</f>
        <v>856</v>
      </c>
      <c r="I141" s="35" t="str">
        <f t="shared" si="6"/>
        <v> </v>
      </c>
      <c r="J141" t="s">
        <v>754</v>
      </c>
      <c r="K141" s="49"/>
      <c r="L141" s="49"/>
      <c r="M141" s="49"/>
      <c r="N141" s="58"/>
      <c r="O141" s="59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7"/>
        <v>0</v>
      </c>
      <c r="H142" s="35" t="str">
        <f>IF(ISBLANK('FBPQ T4'!E134)," ",'FBPQ T4'!AE134)</f>
        <v> </v>
      </c>
      <c r="I142" s="35" t="str">
        <f t="shared" si="6"/>
        <v> </v>
      </c>
      <c r="J142"/>
      <c r="K142" s="49"/>
      <c r="L142" s="49"/>
      <c r="M142" s="49"/>
      <c r="N142" s="55"/>
      <c r="O142" s="59"/>
    </row>
    <row r="143" spans="1:15" ht="12.75">
      <c r="A143" s="39"/>
      <c r="B143" s="34" t="s">
        <v>258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7"/>
        <v>0</v>
      </c>
      <c r="H143" s="35" t="str">
        <f>IF(ISBLANK('FBPQ T4'!E135)," ",'FBPQ T4'!AE135)</f>
        <v> </v>
      </c>
      <c r="I143" s="35" t="str">
        <f t="shared" si="6"/>
        <v> </v>
      </c>
      <c r="J143"/>
      <c r="K143" s="49"/>
      <c r="L143" s="50"/>
      <c r="M143" s="49"/>
      <c r="N143" s="58"/>
      <c r="O143" s="57"/>
    </row>
    <row r="144" spans="1:15" ht="12.75">
      <c r="A144" s="39"/>
      <c r="B144" s="34"/>
      <c r="C144" s="35" t="s">
        <v>536</v>
      </c>
      <c r="D144" s="39" t="s">
        <v>607</v>
      </c>
      <c r="E144" s="6">
        <f>IF(ISNUMBER('FBPQ C2'!J136),'FBPQ C2'!J136,IF(ISNUMBER('FBPQ C2'!I136),'FBPQ C2'!I136,""))</f>
        <v>1140.57</v>
      </c>
      <c r="F144" s="45" t="s">
        <v>779</v>
      </c>
      <c r="G144" s="45">
        <f t="shared" si="7"/>
        <v>1140.57</v>
      </c>
      <c r="H144" s="35">
        <f>IF(ISBLANK('FBPQ T4'!E136)," ",'FBPQ T4'!AE136)</f>
        <v>94</v>
      </c>
      <c r="I144" s="35">
        <f t="shared" si="6"/>
        <v>107213.57999999999</v>
      </c>
      <c r="J144" t="s">
        <v>761</v>
      </c>
      <c r="K144" s="49"/>
      <c r="L144" s="49"/>
      <c r="M144" s="63"/>
      <c r="N144" s="58"/>
      <c r="O144" s="64"/>
    </row>
    <row r="145" spans="1:15" ht="12.75">
      <c r="A145" s="39"/>
      <c r="B145" s="34"/>
      <c r="C145" s="35" t="s">
        <v>408</v>
      </c>
      <c r="D145" s="39" t="s">
        <v>607</v>
      </c>
      <c r="E145" s="6">
        <f>IF(ISNUMBER('FBPQ C2'!J137),'FBPQ C2'!J137,IF(ISNUMBER('FBPQ C2'!I137),'FBPQ C2'!I137,""))</f>
      </c>
      <c r="F145" s="45" t="s">
        <v>779</v>
      </c>
      <c r="G145" s="45" t="str">
        <f t="shared" si="7"/>
        <v>DATA</v>
      </c>
      <c r="H145" s="35">
        <f>IF(ISBLANK('FBPQ T4'!E137)," ",'FBPQ T4'!AE137)</f>
        <v>161</v>
      </c>
      <c r="I145" s="35" t="str">
        <f t="shared" si="6"/>
        <v> </v>
      </c>
      <c r="J145" t="s">
        <v>761</v>
      </c>
      <c r="K145" s="49"/>
      <c r="L145" s="49"/>
      <c r="M145" s="63"/>
      <c r="N145" s="58"/>
      <c r="O145" s="65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7"/>
        <v>0</v>
      </c>
      <c r="H146" s="35" t="str">
        <f>IF(ISBLANK('FBPQ T4'!E138)," ",'FBPQ T4'!AE138)</f>
        <v> </v>
      </c>
      <c r="I146" s="35" t="str">
        <f t="shared" si="6"/>
        <v> </v>
      </c>
      <c r="J146"/>
      <c r="K146" s="61"/>
      <c r="L146" s="61"/>
      <c r="M146" s="61"/>
      <c r="N146" s="62"/>
    </row>
    <row r="147" spans="1:10" ht="12.75">
      <c r="A147" s="39" t="s">
        <v>284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7"/>
        <v>0</v>
      </c>
      <c r="H147" s="35" t="str">
        <f>IF(ISBLANK('FBPQ T4'!E139)," ",'FBPQ T4'!AE139)</f>
        <v> </v>
      </c>
      <c r="I147" s="35" t="str">
        <f t="shared" si="6"/>
        <v> </v>
      </c>
      <c r="J147"/>
    </row>
    <row r="148" spans="1:10" ht="12.75">
      <c r="A148" s="39"/>
      <c r="B148" s="34" t="s">
        <v>285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8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6"/>
        <v> </v>
      </c>
      <c r="J148"/>
    </row>
    <row r="149" spans="1:10" ht="12.75">
      <c r="A149" s="39"/>
      <c r="B149" s="34"/>
      <c r="C149" s="35" t="s">
        <v>286</v>
      </c>
      <c r="D149" s="39" t="s">
        <v>607</v>
      </c>
      <c r="E149" s="6">
        <f>IF(ISNUMBER('FBPQ C2'!J141),'FBPQ C2'!J141,IF(ISNUMBER('FBPQ C2'!I141),'FBPQ C2'!I141,""))</f>
      </c>
      <c r="F149" s="45" t="s">
        <v>779</v>
      </c>
      <c r="G149" s="45" t="str">
        <f t="shared" si="8"/>
        <v> </v>
      </c>
      <c r="H149" s="35">
        <f>IF(ISBLANK('FBPQ T4'!E141)," ",'FBPQ T4'!AE141)</f>
        <v>0</v>
      </c>
      <c r="I149" s="35" t="str">
        <f aca="true" t="shared" si="9" ref="I149:I163">IF(ISERROR(G149*H149)," ",G149*H149)</f>
        <v> </v>
      </c>
      <c r="J149" t="s">
        <v>760</v>
      </c>
    </row>
    <row r="150" spans="1:10" ht="12.75">
      <c r="A150" s="39"/>
      <c r="B150" s="34"/>
      <c r="C150" s="35" t="s">
        <v>538</v>
      </c>
      <c r="D150" s="39" t="s">
        <v>607</v>
      </c>
      <c r="E150" s="6">
        <f>IF(ISNUMBER('FBPQ C2'!J142),'FBPQ C2'!J142,IF(ISNUMBER('FBPQ C2'!I142),'FBPQ C2'!I142,""))</f>
      </c>
      <c r="F150" s="45" t="s">
        <v>779</v>
      </c>
      <c r="G150" s="45" t="str">
        <f t="shared" si="8"/>
        <v>DATA</v>
      </c>
      <c r="H150" s="35">
        <f>IF(ISBLANK('FBPQ T4'!E142)," ",'FBPQ T4'!AE142)</f>
        <v>393</v>
      </c>
      <c r="I150" s="35" t="str">
        <f t="shared" si="9"/>
        <v> </v>
      </c>
      <c r="J150" t="s">
        <v>760</v>
      </c>
    </row>
    <row r="151" spans="1:10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8"/>
        <v>0</v>
      </c>
      <c r="H151" s="35" t="str">
        <f>IF(ISBLANK('FBPQ T4'!E143)," ",'FBPQ T4'!AE143)</f>
        <v> </v>
      </c>
      <c r="I151" s="35" t="str">
        <f t="shared" si="9"/>
        <v> </v>
      </c>
      <c r="J151"/>
    </row>
    <row r="152" spans="1:10" ht="12.75">
      <c r="A152" s="39"/>
      <c r="B152" s="34" t="s">
        <v>539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8"/>
        <v>0</v>
      </c>
      <c r="H152" s="35" t="str">
        <f>IF(ISBLANK('FBPQ T4'!E144)," ",'FBPQ T4'!AE144)</f>
        <v> </v>
      </c>
      <c r="I152" s="35" t="str">
        <f t="shared" si="9"/>
        <v> </v>
      </c>
      <c r="J152"/>
    </row>
    <row r="153" spans="1:10" ht="12.75">
      <c r="A153" s="39"/>
      <c r="B153" s="34"/>
      <c r="C153" s="35" t="s">
        <v>288</v>
      </c>
      <c r="D153" s="39" t="s">
        <v>607</v>
      </c>
      <c r="E153" s="6">
        <f>IF(ISNUMBER('FBPQ C2'!J145),'FBPQ C2'!J145,IF(ISNUMBER('FBPQ C2'!I145),'FBPQ C2'!I145,""))</f>
      </c>
      <c r="F153" s="45" t="s">
        <v>779</v>
      </c>
      <c r="G153" s="45" t="str">
        <f t="shared" si="8"/>
        <v>DATA</v>
      </c>
      <c r="H153" s="35">
        <f>IF(ISBLANK('FBPQ T4'!E145)," ",'FBPQ T4'!AE145)</f>
        <v>1747</v>
      </c>
      <c r="I153" s="45"/>
      <c r="J153" t="s">
        <v>25</v>
      </c>
    </row>
    <row r="154" spans="1:10" ht="12.75">
      <c r="A154" s="39"/>
      <c r="B154" s="34"/>
      <c r="C154" s="35" t="s">
        <v>289</v>
      </c>
      <c r="D154" s="39" t="s">
        <v>607</v>
      </c>
      <c r="E154" s="6">
        <f>IF(ISNUMBER('FBPQ C2'!J146),'FBPQ C2'!J146,IF(ISNUMBER('FBPQ C2'!I146),'FBPQ C2'!I146,""))</f>
      </c>
      <c r="F154" s="45" t="s">
        <v>779</v>
      </c>
      <c r="G154" s="45" t="str">
        <f t="shared" si="8"/>
        <v>DATA</v>
      </c>
      <c r="H154" s="35">
        <f>IF(ISBLANK('FBPQ T4'!E146)," ",'FBPQ T4'!AE146)</f>
        <v>155</v>
      </c>
      <c r="I154" s="35" t="str">
        <f t="shared" si="9"/>
        <v> </v>
      </c>
      <c r="J154" t="s">
        <v>25</v>
      </c>
    </row>
    <row r="155" spans="1:10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8"/>
        <v>0</v>
      </c>
      <c r="H155" s="35" t="str">
        <f>IF(ISBLANK('FBPQ T4'!E147)," ",'FBPQ T4'!AE147)</f>
        <v> </v>
      </c>
      <c r="I155" s="35" t="str">
        <f t="shared" si="9"/>
        <v> </v>
      </c>
      <c r="J155"/>
    </row>
    <row r="156" spans="1:10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8"/>
        <v>0</v>
      </c>
      <c r="H156" s="35" t="str">
        <f>IF(ISBLANK('FBPQ T4'!E148)," ",'FBPQ T4'!AE148)</f>
        <v> </v>
      </c>
      <c r="I156" s="35" t="str">
        <f t="shared" si="9"/>
        <v> </v>
      </c>
      <c r="J156"/>
    </row>
    <row r="157" spans="1:10" ht="12.75">
      <c r="A157" s="39" t="s">
        <v>290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8"/>
        <v>0</v>
      </c>
      <c r="H157" s="35" t="str">
        <f>IF(ISBLANK('FBPQ T4'!E149)," ",'FBPQ T4'!AE149)</f>
        <v> </v>
      </c>
      <c r="I157" s="35" t="str">
        <f t="shared" si="9"/>
        <v> </v>
      </c>
      <c r="J157"/>
    </row>
    <row r="158" spans="1:10" ht="12.75">
      <c r="A158" s="39"/>
      <c r="B158" s="34"/>
      <c r="C158" s="35" t="s">
        <v>514</v>
      </c>
      <c r="D158" s="39"/>
      <c r="E158" s="6">
        <f>IF(ISNUMBER('FBPQ C2'!J150),'FBPQ C2'!J150,IF(ISNUMBER('FBPQ C2'!I150),'FBPQ C2'!I150,""))</f>
      </c>
      <c r="F158" s="45"/>
      <c r="G158" s="45">
        <f t="shared" si="8"/>
        <v>0</v>
      </c>
      <c r="H158" s="35" t="str">
        <f>IF(ISBLANK('FBPQ T4'!E150)," ",'FBPQ T4'!AE150)</f>
        <v> </v>
      </c>
      <c r="I158" s="35" t="str">
        <f t="shared" si="9"/>
        <v> </v>
      </c>
      <c r="J158"/>
    </row>
    <row r="159" spans="1:10" ht="12.75">
      <c r="A159" s="39"/>
      <c r="B159" s="34"/>
      <c r="C159" s="35" t="s">
        <v>291</v>
      </c>
      <c r="D159" s="39" t="s">
        <v>607</v>
      </c>
      <c r="E159" s="6">
        <f>IF(ISNUMBER('FBPQ C2'!J151),'FBPQ C2'!J151,IF(ISNUMBER('FBPQ C2'!I151),'FBPQ C2'!I151,""))</f>
        <v>24.46</v>
      </c>
      <c r="F159" s="45" t="s">
        <v>779</v>
      </c>
      <c r="G159" s="45">
        <f t="shared" si="8"/>
        <v>24.46</v>
      </c>
      <c r="H159" s="35" t="str">
        <f>IF(ISBLANK('FBPQ T4'!E151)," ",'FBPQ T4'!AE151)</f>
        <v> </v>
      </c>
      <c r="I159" s="35" t="str">
        <f t="shared" si="9"/>
        <v> </v>
      </c>
      <c r="J159"/>
    </row>
    <row r="160" spans="1:10" ht="12.75">
      <c r="A160" s="39"/>
      <c r="B160" s="34"/>
      <c r="C160" s="35" t="s">
        <v>292</v>
      </c>
      <c r="D160" s="39" t="s">
        <v>607</v>
      </c>
      <c r="E160" s="6">
        <f>IF(ISNUMBER('FBPQ C2'!J152),'FBPQ C2'!J152,IF(ISNUMBER('FBPQ C2'!I152),'FBPQ C2'!I152,""))</f>
        <v>24.46</v>
      </c>
      <c r="F160" s="45" t="s">
        <v>779</v>
      </c>
      <c r="G160" s="45">
        <f t="shared" si="8"/>
        <v>24.46</v>
      </c>
      <c r="H160" s="35" t="str">
        <f>IF(ISBLANK('FBPQ T4'!E152)," ",'FBPQ T4'!AE152)</f>
        <v> </v>
      </c>
      <c r="I160" s="35" t="str">
        <f t="shared" si="9"/>
        <v> </v>
      </c>
      <c r="J160"/>
    </row>
    <row r="161" spans="1:10" ht="12.75">
      <c r="A161" s="39"/>
      <c r="B161" s="34"/>
      <c r="C161" s="35" t="s">
        <v>136</v>
      </c>
      <c r="D161" s="39"/>
      <c r="E161" s="6">
        <f>IF(ISNUMBER('FBPQ C2'!J153),'FBPQ C2'!J153,IF(ISNUMBER('FBPQ C2'!I153),'FBPQ C2'!I153,""))</f>
      </c>
      <c r="F161" s="45" t="s">
        <v>779</v>
      </c>
      <c r="G161" s="45" t="str">
        <f t="shared" si="8"/>
        <v>DATA</v>
      </c>
      <c r="H161" s="35" t="str">
        <f>IF(ISBLANK('FBPQ T4'!E153)," ",'FBPQ T4'!AE153)</f>
        <v> </v>
      </c>
      <c r="I161" s="35" t="str">
        <f t="shared" si="9"/>
        <v> </v>
      </c>
      <c r="J161"/>
    </row>
    <row r="162" spans="1:10" ht="12.75">
      <c r="A162" s="39"/>
      <c r="B162" s="34"/>
      <c r="C162" s="35" t="s">
        <v>291</v>
      </c>
      <c r="D162" s="39" t="s">
        <v>607</v>
      </c>
      <c r="E162" s="6">
        <f>IF(ISNUMBER('FBPQ C2'!J154),'FBPQ C2'!J154,IF(ISNUMBER('FBPQ C2'!I154),'FBPQ C2'!I154,""))</f>
      </c>
      <c r="F162" s="45" t="s">
        <v>779</v>
      </c>
      <c r="G162" s="45" t="str">
        <f t="shared" si="8"/>
        <v>DATA</v>
      </c>
      <c r="H162" s="35" t="str">
        <f>IF(ISBLANK('FBPQ T4'!E154)," ",'FBPQ T4'!AE154)</f>
        <v> </v>
      </c>
      <c r="I162" s="35" t="str">
        <f t="shared" si="9"/>
        <v> </v>
      </c>
      <c r="J162"/>
    </row>
    <row r="163" spans="1:10" ht="12.75">
      <c r="A163" s="38"/>
      <c r="B163" s="36"/>
      <c r="C163" s="37" t="s">
        <v>292</v>
      </c>
      <c r="D163" s="38" t="s">
        <v>607</v>
      </c>
      <c r="E163" s="7">
        <f>IF(ISNUMBER('FBPQ C2'!J155),'FBPQ C2'!J155,IF(ISNUMBER('FBPQ C2'!I155),'FBPQ C2'!I155,""))</f>
      </c>
      <c r="F163" s="46" t="s">
        <v>779</v>
      </c>
      <c r="G163" s="46" t="str">
        <f t="shared" si="8"/>
        <v>DATA</v>
      </c>
      <c r="H163" s="38" t="str">
        <f>IF(ISBLANK('FBPQ T4'!E155)," ",'FBPQ T4'!AE155)</f>
        <v> </v>
      </c>
      <c r="I163" s="38" t="str">
        <f t="shared" si="9"/>
        <v> </v>
      </c>
      <c r="J163"/>
    </row>
    <row r="164" spans="8:10" ht="12.75">
      <c r="H164" s="1227" t="s">
        <v>94</v>
      </c>
      <c r="I164" s="1228">
        <f>SUM(I18:I163)</f>
        <v>5628976.96892</v>
      </c>
      <c r="J164"/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20" sqref="I20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21</v>
      </c>
      <c r="F1" s="389" t="s">
        <v>776</v>
      </c>
    </row>
    <row r="3" spans="2:8" ht="26.25" customHeight="1">
      <c r="B3" s="1461" t="s">
        <v>203</v>
      </c>
      <c r="C3" s="1462"/>
      <c r="D3" s="1463"/>
      <c r="F3" s="1461" t="s">
        <v>41</v>
      </c>
      <c r="G3" s="1462"/>
      <c r="H3" s="1463"/>
    </row>
    <row r="4" spans="2:8" ht="12.75" customHeight="1">
      <c r="B4" s="1452" t="s">
        <v>97</v>
      </c>
      <c r="C4" s="1471"/>
      <c r="D4" s="1470"/>
      <c r="F4" s="1452" t="s">
        <v>97</v>
      </c>
      <c r="G4" s="1471"/>
      <c r="H4" s="1470"/>
    </row>
    <row r="5" spans="2:8" ht="12.75">
      <c r="B5" s="11"/>
      <c r="C5" s="76" t="s">
        <v>593</v>
      </c>
      <c r="D5" s="13" t="s">
        <v>22</v>
      </c>
      <c r="F5" s="11"/>
      <c r="G5" s="76" t="s">
        <v>593</v>
      </c>
      <c r="H5" s="40" t="s">
        <v>22</v>
      </c>
    </row>
    <row r="6" spans="2:8" ht="12.75">
      <c r="B6" s="22" t="s">
        <v>751</v>
      </c>
      <c r="C6" s="18">
        <f>C19+F19+I19+C28</f>
        <v>116.69016908763138</v>
      </c>
      <c r="D6" s="301">
        <f>C6/SUM($C$6:$C$9)</f>
        <v>0.26793222162201646</v>
      </c>
      <c r="F6" s="22" t="s">
        <v>751</v>
      </c>
      <c r="G6" s="70">
        <f>+C39+F39+I39+C49</f>
        <v>116.69016908763138</v>
      </c>
      <c r="H6" s="15">
        <f>G6/SUM($G$6:$G$10)</f>
        <v>0.26793222162201646</v>
      </c>
    </row>
    <row r="7" spans="2:8" ht="12.75">
      <c r="B7" s="22" t="s">
        <v>750</v>
      </c>
      <c r="C7" s="19">
        <f>C20+F20+I20+C29</f>
        <v>165.0088238690167</v>
      </c>
      <c r="D7" s="302">
        <f>C7/SUM($C$6:$C$9)</f>
        <v>0.37887665355305283</v>
      </c>
      <c r="F7" s="22" t="s">
        <v>27</v>
      </c>
      <c r="G7" s="71">
        <f>+C40+F40+I40+C50</f>
        <v>34.55847935761172</v>
      </c>
      <c r="H7" s="14">
        <f>G7/SUM($G$6:$G$10)</f>
        <v>0.07934970205767705</v>
      </c>
    </row>
    <row r="8" spans="2:8" ht="12.75">
      <c r="B8" s="22" t="s">
        <v>756</v>
      </c>
      <c r="C8" s="19">
        <f>C21+F21+I21+C30</f>
        <v>73.66582871729888</v>
      </c>
      <c r="D8" s="302">
        <f>C8/SUM($C$6:$C$9)</f>
        <v>0.16914406157926212</v>
      </c>
      <c r="F8" s="22" t="s">
        <v>750</v>
      </c>
      <c r="G8" s="71">
        <f>+C41+F41+I41+C51</f>
        <v>130.45034451140504</v>
      </c>
      <c r="H8" s="14">
        <f>G8/SUM($G$6:$G$10)</f>
        <v>0.2995269514953759</v>
      </c>
    </row>
    <row r="9" spans="2:8" ht="12.75">
      <c r="B9" s="23" t="s">
        <v>245</v>
      </c>
      <c r="C9" s="20">
        <f>C22+F22+I22+C31</f>
        <v>80.15640224308983</v>
      </c>
      <c r="D9" s="303">
        <f>C9/SUM($C$6:$C$9)</f>
        <v>0.1840470632456685</v>
      </c>
      <c r="F9" s="22" t="s">
        <v>756</v>
      </c>
      <c r="G9" s="71">
        <f>+C42+F42+I42+C52</f>
        <v>73.66582871729888</v>
      </c>
      <c r="H9" s="14">
        <f>G9/SUM($G$6:$G$10)</f>
        <v>0.16914406157926212</v>
      </c>
    </row>
    <row r="10" spans="2:8" ht="12.75">
      <c r="B10" s="8"/>
      <c r="C10" s="67"/>
      <c r="D10" s="68"/>
      <c r="F10" s="23" t="s">
        <v>245</v>
      </c>
      <c r="G10" s="72">
        <f>+C43+F43+I43+C53</f>
        <v>80.15640224308983</v>
      </c>
      <c r="H10" s="16">
        <f>G10/SUM($G$6:$G$10)</f>
        <v>0.1840470632456685</v>
      </c>
    </row>
    <row r="11" spans="2:4" ht="12.75">
      <c r="B11" s="8"/>
      <c r="C11" s="67"/>
      <c r="D11" s="312"/>
    </row>
    <row r="12" spans="2:3" ht="12" customHeight="1">
      <c r="B12" s="8"/>
      <c r="C12" s="9"/>
    </row>
    <row r="13" s="3" customFormat="1" ht="12.75">
      <c r="A13" s="10" t="s">
        <v>103</v>
      </c>
    </row>
    <row r="15" ht="5.25" customHeight="1"/>
    <row r="16" spans="2:9" s="4" customFormat="1" ht="26.25" customHeight="1">
      <c r="B16" s="1461" t="s">
        <v>217</v>
      </c>
      <c r="C16" s="1463"/>
      <c r="E16" s="1461" t="s">
        <v>246</v>
      </c>
      <c r="F16" s="1463"/>
      <c r="H16" s="1461" t="s">
        <v>17</v>
      </c>
      <c r="I16" s="1463"/>
    </row>
    <row r="17" spans="2:9" ht="27" customHeight="1">
      <c r="B17" s="1452" t="s">
        <v>210</v>
      </c>
      <c r="C17" s="1470"/>
      <c r="E17" s="1452" t="s">
        <v>247</v>
      </c>
      <c r="F17" s="1470"/>
      <c r="H17" s="1452" t="s">
        <v>18</v>
      </c>
      <c r="I17" s="1470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751</v>
      </c>
      <c r="C19" s="19">
        <f>SUM('FBPQ LR1'!D82:M82)-SUM('FBPQ LR1'!D110:M110)</f>
        <v>5.900000000000006</v>
      </c>
      <c r="E19" s="6" t="s">
        <v>751</v>
      </c>
      <c r="F19" s="19">
        <f>SUM('FBPQ LR4'!D11:M11)</f>
        <v>2.2</v>
      </c>
      <c r="H19" s="6" t="s">
        <v>751</v>
      </c>
      <c r="I19" s="19">
        <f>SUM('FBPQ LR6'!C28:L28)</f>
        <v>0</v>
      </c>
    </row>
    <row r="20" spans="2:9" ht="12.75">
      <c r="B20" s="22" t="s">
        <v>750</v>
      </c>
      <c r="C20" s="19">
        <f>SUM('FBPQ LR1'!D86:M86)-SUM('FBPQ LR1'!D114:M114)</f>
        <v>6.600000000000001</v>
      </c>
      <c r="E20" s="6" t="s">
        <v>750</v>
      </c>
      <c r="F20" s="19">
        <f>SUM('FBPQ LR4'!D12:M12)</f>
        <v>10.999999999999998</v>
      </c>
      <c r="H20" s="6" t="s">
        <v>750</v>
      </c>
      <c r="I20" s="19">
        <f>SUM('FBPQ LR6'!C29:L29)</f>
        <v>0</v>
      </c>
    </row>
    <row r="21" spans="2:9" ht="12.75">
      <c r="B21" s="22" t="s">
        <v>756</v>
      </c>
      <c r="C21" s="19">
        <f>SUM('FBPQ LR1'!D90:M90)-SUM('FBPQ LR1'!D118:M118)</f>
        <v>0</v>
      </c>
      <c r="E21" s="6" t="s">
        <v>756</v>
      </c>
      <c r="F21" s="19">
        <f>SUM('FBPQ LR4'!D13:M13)</f>
        <v>15.35</v>
      </c>
      <c r="H21" s="6" t="s">
        <v>756</v>
      </c>
      <c r="I21" s="19">
        <f>SUM('FBPQ LR6'!C30:L30)</f>
        <v>2.9000000000000004</v>
      </c>
    </row>
    <row r="22" spans="2:9" ht="12.75">
      <c r="B22" s="23" t="s">
        <v>245</v>
      </c>
      <c r="C22" s="20">
        <f>SUM('FBPQ LR1'!D94:M94)-SUM('FBPQ LR1'!D122:M122)</f>
        <v>0</v>
      </c>
      <c r="E22" s="7" t="s">
        <v>245</v>
      </c>
      <c r="F22" s="20">
        <f>SUM('FBPQ LR4'!D14:M14)</f>
        <v>25.500000000000004</v>
      </c>
      <c r="H22" s="7" t="s">
        <v>245</v>
      </c>
      <c r="I22" s="20">
        <f>SUM('FBPQ LR6'!C31:L31)</f>
        <v>0</v>
      </c>
    </row>
    <row r="25" spans="2:3" ht="24.75" customHeight="1">
      <c r="B25" s="1461" t="s">
        <v>19</v>
      </c>
      <c r="C25" s="1463"/>
    </row>
    <row r="26" spans="2:3" ht="27.75" customHeight="1">
      <c r="B26" s="1452" t="s">
        <v>20</v>
      </c>
      <c r="C26" s="1470"/>
    </row>
    <row r="27" spans="2:3" ht="12.75">
      <c r="B27" s="5"/>
      <c r="C27" s="18"/>
    </row>
    <row r="28" spans="2:3" ht="12.75">
      <c r="B28" s="6" t="s">
        <v>751</v>
      </c>
      <c r="C28" s="19">
        <f>SUM('FBPQ NL1'!D10:M16)</f>
        <v>108.59016908763137</v>
      </c>
    </row>
    <row r="29" spans="2:3" ht="12.75">
      <c r="B29" s="6" t="s">
        <v>750</v>
      </c>
      <c r="C29" s="19">
        <f>SUM('FBPQ NL1'!D17:M22)</f>
        <v>147.40882386901671</v>
      </c>
    </row>
    <row r="30" spans="2:3" ht="12.75">
      <c r="B30" s="6" t="s">
        <v>756</v>
      </c>
      <c r="C30" s="19">
        <f>SUM('FBPQ NL1'!D23:M28)</f>
        <v>55.41582871729888</v>
      </c>
    </row>
    <row r="31" spans="2:3" ht="12.75">
      <c r="B31" s="7" t="s">
        <v>245</v>
      </c>
      <c r="C31" s="20">
        <f>SUM('FBPQ NL1'!D29:M34)</f>
        <v>54.65640224308982</v>
      </c>
    </row>
    <row r="33" s="3" customFormat="1" ht="12.75">
      <c r="A33" s="10" t="s">
        <v>96</v>
      </c>
    </row>
    <row r="35" ht="5.25" customHeight="1"/>
    <row r="36" spans="2:9" s="4" customFormat="1" ht="26.25" customHeight="1">
      <c r="B36" s="1461" t="s">
        <v>217</v>
      </c>
      <c r="C36" s="1463"/>
      <c r="E36" s="1461" t="s">
        <v>246</v>
      </c>
      <c r="F36" s="1463"/>
      <c r="H36" s="1461" t="s">
        <v>17</v>
      </c>
      <c r="I36" s="1463"/>
    </row>
    <row r="37" spans="2:9" ht="27" customHeight="1">
      <c r="B37" s="1452" t="s">
        <v>210</v>
      </c>
      <c r="C37" s="1470"/>
      <c r="E37" s="1452" t="s">
        <v>247</v>
      </c>
      <c r="F37" s="1470"/>
      <c r="H37" s="1452" t="s">
        <v>18</v>
      </c>
      <c r="I37" s="1470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751</v>
      </c>
      <c r="C39" s="19">
        <f>SUM('FBPQ LR1'!D82:M82)-SUM('FBPQ LR1'!D110:M110)</f>
        <v>5.900000000000006</v>
      </c>
      <c r="E39" s="6" t="s">
        <v>751</v>
      </c>
      <c r="F39" s="19">
        <f>SUM('FBPQ LR4'!D11:M11)</f>
        <v>2.2</v>
      </c>
      <c r="H39" s="6" t="s">
        <v>751</v>
      </c>
      <c r="I39" s="19">
        <f>SUM('FBPQ LR6'!C28:L28)</f>
        <v>0</v>
      </c>
    </row>
    <row r="40" spans="2:10" ht="63.75">
      <c r="B40" s="376" t="s">
        <v>27</v>
      </c>
      <c r="C40" s="19">
        <f>(SUM('FBPQ LR1'!D86:M86)-SUM('FBPQ LR1'!D114:M114))*(G50)</f>
        <v>1.690061771346161</v>
      </c>
      <c r="D40" s="377" t="s">
        <v>611</v>
      </c>
      <c r="E40" s="376" t="s">
        <v>27</v>
      </c>
      <c r="F40" s="19">
        <f>SUM('FBPQ LR4'!D12:M12)*(G50)</f>
        <v>2.8167696189102673</v>
      </c>
      <c r="G40" s="377" t="s">
        <v>611</v>
      </c>
      <c r="H40" s="376" t="s">
        <v>27</v>
      </c>
      <c r="I40" s="19">
        <f>SUM('FBPQ LR6'!C29:L29)*(G50)</f>
        <v>0</v>
      </c>
      <c r="J40" s="377" t="s">
        <v>611</v>
      </c>
    </row>
    <row r="41" spans="2:9" ht="12.75">
      <c r="B41" s="376" t="s">
        <v>750</v>
      </c>
      <c r="C41" s="19">
        <f>(SUM('FBPQ LR1'!D86:M86)-SUM('FBPQ LR1'!D114:M114))*(1-G50)</f>
        <v>4.90993822865384</v>
      </c>
      <c r="E41" s="378" t="s">
        <v>750</v>
      </c>
      <c r="F41" s="19">
        <f>SUM('FBPQ LR4'!D12:M12)*(1-G50)</f>
        <v>8.18323038108973</v>
      </c>
      <c r="H41" s="378" t="s">
        <v>750</v>
      </c>
      <c r="I41" s="19">
        <f>SUM('FBPQ LR6'!C29:L29)*(1-G50)</f>
        <v>0</v>
      </c>
    </row>
    <row r="42" spans="2:9" ht="12.75">
      <c r="B42" s="376" t="s">
        <v>756</v>
      </c>
      <c r="C42" s="19">
        <f>SUM('FBPQ LR1'!D90:M90)-SUM('FBPQ LR1'!D118:M118)</f>
        <v>0</v>
      </c>
      <c r="E42" s="378" t="s">
        <v>756</v>
      </c>
      <c r="F42" s="19">
        <f>SUM('FBPQ LR4'!D13:M13)</f>
        <v>15.35</v>
      </c>
      <c r="H42" s="378" t="s">
        <v>756</v>
      </c>
      <c r="I42" s="19">
        <f>SUM('FBPQ LR6'!C30:L30)</f>
        <v>2.9000000000000004</v>
      </c>
    </row>
    <row r="43" spans="2:9" ht="12.75">
      <c r="B43" s="379" t="s">
        <v>245</v>
      </c>
      <c r="C43" s="20">
        <f>SUM('FBPQ LR1'!D94:M94)-SUM('FBPQ LR1'!D122:M122)</f>
        <v>0</v>
      </c>
      <c r="E43" s="380" t="s">
        <v>245</v>
      </c>
      <c r="F43" s="20">
        <f>SUM('FBPQ LR4'!D14:M14)</f>
        <v>25.500000000000004</v>
      </c>
      <c r="H43" s="380" t="s">
        <v>245</v>
      </c>
      <c r="I43" s="20">
        <f>SUM('FBPQ LR6'!C31:L31)</f>
        <v>0</v>
      </c>
    </row>
    <row r="46" spans="2:3" ht="24.75" customHeight="1">
      <c r="B46" s="1461" t="s">
        <v>19</v>
      </c>
      <c r="C46" s="1463"/>
    </row>
    <row r="47" spans="2:3" ht="27.75" customHeight="1">
      <c r="B47" s="1468" t="s">
        <v>20</v>
      </c>
      <c r="C47" s="1469"/>
    </row>
    <row r="48" spans="2:3" ht="12.75">
      <c r="B48" s="5"/>
      <c r="C48" s="18"/>
    </row>
    <row r="49" spans="2:3" ht="12.75">
      <c r="B49" s="378" t="s">
        <v>751</v>
      </c>
      <c r="C49" s="19">
        <f>SUM('FBPQ NL1'!D10:M16)</f>
        <v>108.59016908763137</v>
      </c>
    </row>
    <row r="50" spans="2:7" ht="12.75">
      <c r="B50" s="378" t="s">
        <v>27</v>
      </c>
      <c r="C50" s="19">
        <f>SUM('FBPQ NL1'!D21:M22)</f>
        <v>30.051647967355294</v>
      </c>
      <c r="D50" s="381" t="s">
        <v>612</v>
      </c>
      <c r="F50" s="381" t="s">
        <v>613</v>
      </c>
      <c r="G50" s="382">
        <f>C50/C51</f>
        <v>0.2560699653554789</v>
      </c>
    </row>
    <row r="51" spans="2:3" ht="12.75">
      <c r="B51" s="376" t="s">
        <v>750</v>
      </c>
      <c r="C51" s="19">
        <f>SUM('FBPQ NL1'!D17:M20)</f>
        <v>117.35717590166148</v>
      </c>
    </row>
    <row r="52" spans="2:3" ht="12.75">
      <c r="B52" s="378" t="s">
        <v>756</v>
      </c>
      <c r="C52" s="19">
        <f>SUM('FBPQ NL1'!D23:M28)</f>
        <v>55.41582871729888</v>
      </c>
    </row>
    <row r="53" spans="2:3" ht="12.75">
      <c r="B53" s="380" t="s">
        <v>245</v>
      </c>
      <c r="C53" s="20">
        <f>SUM('FBPQ NL1'!D29:M34)</f>
        <v>54.65640224308982</v>
      </c>
    </row>
  </sheetData>
  <sheetProtection/>
  <mergeCells count="20"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B25:C25"/>
    <mergeCell ref="B46:C46"/>
    <mergeCell ref="B47:C47"/>
    <mergeCell ref="B26:C26"/>
    <mergeCell ref="E37:F37"/>
    <mergeCell ref="H37:I37"/>
    <mergeCell ref="B36:C36"/>
    <mergeCell ref="E36:F36"/>
    <mergeCell ref="H36:I36"/>
    <mergeCell ref="B37:C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5" t="s">
        <v>161</v>
      </c>
      <c r="J1" s="389" t="s">
        <v>776</v>
      </c>
    </row>
    <row r="8" spans="1:12" ht="15">
      <c r="A8" s="538" t="s">
        <v>162</v>
      </c>
      <c r="B8" s="539"/>
      <c r="C8" s="51"/>
      <c r="D8" s="540"/>
      <c r="E8" s="539"/>
      <c r="F8" s="539"/>
      <c r="G8" s="541"/>
      <c r="H8" s="542" t="s">
        <v>742</v>
      </c>
      <c r="I8" s="542" t="s">
        <v>743</v>
      </c>
      <c r="J8" s="542" t="s">
        <v>739</v>
      </c>
      <c r="K8" s="542" t="s">
        <v>609</v>
      </c>
      <c r="L8" s="542" t="s">
        <v>610</v>
      </c>
    </row>
    <row r="9" spans="8:12" ht="15">
      <c r="H9" s="542">
        <v>16</v>
      </c>
      <c r="I9" s="542">
        <v>17</v>
      </c>
      <c r="J9" s="542">
        <v>18</v>
      </c>
      <c r="K9" s="542">
        <v>19</v>
      </c>
      <c r="L9" s="542">
        <v>20</v>
      </c>
    </row>
    <row r="10" spans="8:12" ht="15">
      <c r="H10" s="542"/>
      <c r="I10" s="542"/>
      <c r="J10" s="542"/>
      <c r="K10" s="542"/>
      <c r="L10" s="542"/>
    </row>
    <row r="11" spans="2:12" ht="14.25">
      <c r="B11" s="541" t="s">
        <v>271</v>
      </c>
      <c r="F11" t="s">
        <v>593</v>
      </c>
      <c r="H11" s="544">
        <v>190.2</v>
      </c>
      <c r="I11" s="544">
        <v>193.489483</v>
      </c>
      <c r="J11" s="544">
        <v>200.657654</v>
      </c>
      <c r="K11" s="544">
        <v>1.882347</v>
      </c>
      <c r="L11" s="544" t="e">
        <v>#DIV/0!</v>
      </c>
    </row>
    <row r="12" spans="2:12" ht="14.25">
      <c r="B12" s="541" t="s">
        <v>151</v>
      </c>
      <c r="F12" t="s">
        <v>593</v>
      </c>
      <c r="H12" s="544">
        <v>1.407349</v>
      </c>
      <c r="I12" s="544">
        <v>-1.361787</v>
      </c>
      <c r="J12" s="544">
        <v>-3.144495</v>
      </c>
      <c r="K12" s="544">
        <v>-22.663311</v>
      </c>
      <c r="L12" s="544">
        <v>-22.663311</v>
      </c>
    </row>
    <row r="13" spans="2:12" ht="14.25">
      <c r="B13" s="541" t="s">
        <v>152</v>
      </c>
      <c r="F13" t="s">
        <v>593</v>
      </c>
      <c r="H13" s="544">
        <v>13.526795</v>
      </c>
      <c r="I13" s="544">
        <v>9.683917</v>
      </c>
      <c r="J13" s="544">
        <v>7.475332</v>
      </c>
      <c r="K13" s="544">
        <v>0</v>
      </c>
      <c r="L13" s="544">
        <v>0</v>
      </c>
    </row>
    <row r="14" spans="2:12" ht="14.25">
      <c r="B14" s="541" t="s">
        <v>268</v>
      </c>
      <c r="F14" t="s">
        <v>593</v>
      </c>
      <c r="H14" s="544">
        <v>-0.936467</v>
      </c>
      <c r="I14" s="544">
        <v>-6.824422</v>
      </c>
      <c r="J14" s="544">
        <v>-12.14462</v>
      </c>
      <c r="K14" s="544">
        <v>3.417392</v>
      </c>
      <c r="L14" s="544">
        <v>24.561331</v>
      </c>
    </row>
    <row r="15" spans="2:12" ht="14.25">
      <c r="B15" s="541"/>
      <c r="H15" s="545"/>
      <c r="I15" s="545"/>
      <c r="J15" s="545"/>
      <c r="K15" s="545"/>
      <c r="L15" s="545"/>
    </row>
    <row r="16" spans="2:12" ht="14.25">
      <c r="B16" s="541" t="s">
        <v>269</v>
      </c>
      <c r="F16" t="s">
        <v>593</v>
      </c>
      <c r="H16" s="546">
        <v>206.070611</v>
      </c>
      <c r="I16" s="546">
        <v>208.636035</v>
      </c>
      <c r="J16" s="546">
        <v>217.133111</v>
      </c>
      <c r="K16" s="546">
        <v>-24.198356</v>
      </c>
      <c r="L16" s="546" t="e">
        <v>#DIV/0!</v>
      </c>
    </row>
    <row r="17" spans="2:12" ht="14.25">
      <c r="B17" s="541"/>
      <c r="H17" s="547"/>
      <c r="I17" s="547"/>
      <c r="J17" s="547"/>
      <c r="K17" s="547"/>
      <c r="L17" s="547"/>
    </row>
    <row r="18" spans="2:12" ht="14.25">
      <c r="B18" s="541" t="s">
        <v>270</v>
      </c>
      <c r="F18" t="s">
        <v>593</v>
      </c>
      <c r="H18" s="544">
        <v>199.56</v>
      </c>
      <c r="I18" s="544">
        <v>197.13</v>
      </c>
      <c r="J18" s="544">
        <v>220.5</v>
      </c>
      <c r="K18" s="544">
        <v>0</v>
      </c>
      <c r="L18" s="544">
        <v>0</v>
      </c>
    </row>
    <row r="19" spans="2:12" ht="14.25">
      <c r="B19" s="541" t="s">
        <v>106</v>
      </c>
      <c r="F19" t="s">
        <v>593</v>
      </c>
      <c r="H19" s="544">
        <v>0</v>
      </c>
      <c r="I19" s="544">
        <v>0</v>
      </c>
      <c r="J19" s="544">
        <v>0</v>
      </c>
      <c r="K19" s="544">
        <v>0</v>
      </c>
      <c r="L19" s="544">
        <v>0</v>
      </c>
    </row>
    <row r="20" spans="2:12" ht="14.25">
      <c r="B20" s="541"/>
      <c r="H20" s="545"/>
      <c r="I20" s="545"/>
      <c r="J20" s="545"/>
      <c r="K20" s="545"/>
      <c r="L20" s="545"/>
    </row>
    <row r="21" spans="2:12" ht="14.25">
      <c r="B21" s="541" t="s">
        <v>107</v>
      </c>
      <c r="F21" t="s">
        <v>593</v>
      </c>
      <c r="H21" s="548">
        <v>-6.510611</v>
      </c>
      <c r="I21" s="548">
        <v>-11.506035</v>
      </c>
      <c r="J21" s="548">
        <v>3.366889</v>
      </c>
      <c r="K21" s="548">
        <v>24.198356</v>
      </c>
      <c r="L21" s="548" t="e">
        <v>#DIV/0!</v>
      </c>
    </row>
    <row r="22" spans="8:12" ht="14.25">
      <c r="H22" s="547"/>
      <c r="I22" s="547"/>
      <c r="J22" s="547"/>
      <c r="K22" s="547"/>
      <c r="L22" s="547"/>
    </row>
    <row r="23" spans="8:12" ht="14.25">
      <c r="H23" s="547"/>
      <c r="I23" s="547"/>
      <c r="J23" s="547"/>
      <c r="K23" s="547"/>
      <c r="L23" s="547"/>
    </row>
    <row r="24" spans="1:12" ht="15">
      <c r="A24" s="538" t="s">
        <v>29</v>
      </c>
      <c r="H24" s="547"/>
      <c r="I24" s="547"/>
      <c r="J24" s="547"/>
      <c r="K24" s="547"/>
      <c r="L24" s="547"/>
    </row>
    <row r="25" spans="8:12" ht="14.25">
      <c r="H25" s="547"/>
      <c r="I25" s="547"/>
      <c r="J25" s="547"/>
      <c r="K25" s="547"/>
      <c r="L25" s="547"/>
    </row>
    <row r="26" spans="2:12" ht="14.25">
      <c r="B26" s="541" t="s">
        <v>30</v>
      </c>
      <c r="F26" t="s">
        <v>593</v>
      </c>
      <c r="H26" s="544">
        <v>0.005</v>
      </c>
      <c r="I26" s="544">
        <v>0.020516</v>
      </c>
      <c r="J26" s="544">
        <v>0.031919</v>
      </c>
      <c r="K26" s="544">
        <v>0</v>
      </c>
      <c r="L26" s="544">
        <v>0</v>
      </c>
    </row>
    <row r="27" spans="2:12" ht="14.25">
      <c r="B27" s="541" t="s">
        <v>31</v>
      </c>
      <c r="F27" t="s">
        <v>593</v>
      </c>
      <c r="H27" s="544">
        <v>0</v>
      </c>
      <c r="I27" s="544">
        <v>0</v>
      </c>
      <c r="J27" s="544">
        <v>0</v>
      </c>
      <c r="K27" s="544">
        <v>0</v>
      </c>
      <c r="L27" s="544">
        <v>0</v>
      </c>
    </row>
    <row r="28" spans="2:12" ht="14.25">
      <c r="B28" s="541" t="s">
        <v>32</v>
      </c>
      <c r="F28" t="s">
        <v>593</v>
      </c>
      <c r="H28" s="544">
        <v>0</v>
      </c>
      <c r="I28" s="544">
        <v>-0.005241</v>
      </c>
      <c r="J28" s="544">
        <v>-0.006077</v>
      </c>
      <c r="K28" s="544">
        <v>0.022334</v>
      </c>
      <c r="L28" s="544">
        <v>0.022669</v>
      </c>
    </row>
    <row r="29" spans="2:12" ht="14.25">
      <c r="B29" s="541"/>
      <c r="H29" s="545"/>
      <c r="I29" s="545"/>
      <c r="J29" s="545"/>
      <c r="K29" s="545"/>
      <c r="L29" s="545"/>
    </row>
    <row r="30" spans="2:12" ht="14.25">
      <c r="B30" s="384" t="s">
        <v>29</v>
      </c>
      <c r="F30" t="s">
        <v>593</v>
      </c>
      <c r="H30" s="546">
        <v>0.005</v>
      </c>
      <c r="I30" s="546">
        <v>0.025757</v>
      </c>
      <c r="J30" s="546">
        <v>0.037996</v>
      </c>
      <c r="K30" s="546">
        <v>-0.022334</v>
      </c>
      <c r="L30" s="546">
        <v>-0.022669</v>
      </c>
    </row>
    <row r="31" spans="2:12" ht="14.25">
      <c r="B31" s="541"/>
      <c r="H31" s="547"/>
      <c r="I31" s="547"/>
      <c r="J31" s="547"/>
      <c r="K31" s="547"/>
      <c r="L31" s="547"/>
    </row>
    <row r="32" spans="2:12" ht="14.25">
      <c r="B32" s="541" t="s">
        <v>1</v>
      </c>
      <c r="F32" t="s">
        <v>593</v>
      </c>
      <c r="H32" s="544">
        <v>0</v>
      </c>
      <c r="I32" s="544">
        <v>0.02</v>
      </c>
      <c r="J32" s="544">
        <v>0.06</v>
      </c>
      <c r="K32" s="544">
        <v>0</v>
      </c>
      <c r="L32" s="544">
        <v>0</v>
      </c>
    </row>
    <row r="33" spans="2:12" ht="14.25">
      <c r="B33" s="541"/>
      <c r="H33" s="547"/>
      <c r="I33" s="547"/>
      <c r="J33" s="547"/>
      <c r="K33" s="547"/>
      <c r="L33" s="547"/>
    </row>
    <row r="34" spans="2:12" ht="14.25">
      <c r="B34" s="541" t="s">
        <v>107</v>
      </c>
      <c r="F34" t="s">
        <v>593</v>
      </c>
      <c r="H34" s="548">
        <v>-0.005</v>
      </c>
      <c r="I34" s="548">
        <v>-0.005757</v>
      </c>
      <c r="J34" s="548">
        <v>0.022004</v>
      </c>
      <c r="K34" s="548">
        <v>0.022334</v>
      </c>
      <c r="L34" s="548">
        <v>0.022669</v>
      </c>
    </row>
    <row r="35" spans="8:12" ht="14.25">
      <c r="H35" s="547"/>
      <c r="I35" s="547"/>
      <c r="J35" s="547"/>
      <c r="K35" s="547"/>
      <c r="L35" s="547"/>
    </row>
    <row r="36" spans="8:12" ht="14.25">
      <c r="H36" s="547"/>
      <c r="I36" s="547"/>
      <c r="J36" s="547"/>
      <c r="K36" s="547"/>
      <c r="L36" s="547"/>
    </row>
    <row r="37" spans="1:12" ht="15">
      <c r="A37" s="538" t="s">
        <v>2</v>
      </c>
      <c r="H37" s="549"/>
      <c r="I37" s="549"/>
      <c r="J37" s="549"/>
      <c r="K37" s="549"/>
      <c r="L37" s="549"/>
    </row>
    <row r="38" spans="2:12" ht="14.25">
      <c r="B38" s="384" t="s">
        <v>7</v>
      </c>
      <c r="F38" t="s">
        <v>593</v>
      </c>
      <c r="H38" s="544">
        <v>4.05</v>
      </c>
      <c r="I38" s="544">
        <v>4.76</v>
      </c>
      <c r="J38" s="544">
        <v>4.66</v>
      </c>
      <c r="K38" s="544">
        <v>0</v>
      </c>
      <c r="L38" s="544">
        <v>0</v>
      </c>
    </row>
    <row r="39" spans="2:12" ht="14.25">
      <c r="B39" s="541" t="s">
        <v>102</v>
      </c>
      <c r="F39" t="s">
        <v>593</v>
      </c>
      <c r="H39" s="544">
        <v>5.002858</v>
      </c>
      <c r="I39" s="544">
        <v>4.953108</v>
      </c>
      <c r="J39" s="550">
        <v>0</v>
      </c>
      <c r="K39" s="550">
        <v>0</v>
      </c>
      <c r="L39" s="550">
        <v>0</v>
      </c>
    </row>
    <row r="40" spans="3:12" ht="14.25">
      <c r="C40" s="541"/>
      <c r="H40" s="547"/>
      <c r="I40" s="547"/>
      <c r="J40" s="547"/>
      <c r="K40" s="547"/>
      <c r="L40" s="547"/>
    </row>
    <row r="41" spans="8:12" ht="14.25">
      <c r="H41" s="551">
        <v>9.052858</v>
      </c>
      <c r="I41" s="551">
        <v>9.713108</v>
      </c>
      <c r="J41" s="551">
        <v>4.66</v>
      </c>
      <c r="K41" s="551">
        <v>0</v>
      </c>
      <c r="L41" s="551">
        <v>0</v>
      </c>
    </row>
    <row r="42" spans="8:12" ht="14.25">
      <c r="H42" s="549"/>
      <c r="I42" s="549"/>
      <c r="J42" s="549"/>
      <c r="K42" s="549"/>
      <c r="L42" s="549"/>
    </row>
    <row r="43" spans="8:12" ht="14.25">
      <c r="H43" s="549"/>
      <c r="I43" s="549"/>
      <c r="J43" s="549"/>
      <c r="K43" s="549"/>
      <c r="L43" s="549"/>
    </row>
    <row r="44" spans="1:12" ht="15">
      <c r="A44" s="538" t="s">
        <v>46</v>
      </c>
      <c r="H44" s="549"/>
      <c r="I44" s="549"/>
      <c r="J44" s="549"/>
      <c r="K44" s="549"/>
      <c r="L44" s="549"/>
    </row>
    <row r="45" spans="1:12" ht="15">
      <c r="A45" s="538"/>
      <c r="B45" s="541" t="s">
        <v>47</v>
      </c>
      <c r="F45" t="s">
        <v>593</v>
      </c>
      <c r="H45" s="544">
        <v>37.87</v>
      </c>
      <c r="I45" s="544">
        <v>38.75</v>
      </c>
      <c r="J45" s="544">
        <v>44.91</v>
      </c>
      <c r="K45" s="544">
        <v>0</v>
      </c>
      <c r="L45" s="544">
        <v>0</v>
      </c>
    </row>
    <row r="46" spans="2:12" ht="14.25">
      <c r="B46" s="541" t="s">
        <v>48</v>
      </c>
      <c r="F46" t="s">
        <v>593</v>
      </c>
      <c r="H46" s="552">
        <v>4.36</v>
      </c>
      <c r="I46" s="552">
        <v>4.88</v>
      </c>
      <c r="J46" s="552">
        <v>5.39</v>
      </c>
      <c r="K46" s="552">
        <v>0</v>
      </c>
      <c r="L46" s="552">
        <v>0</v>
      </c>
    </row>
    <row r="47" spans="2:12" ht="14.25">
      <c r="B47" s="541" t="s">
        <v>49</v>
      </c>
      <c r="F47" t="s">
        <v>593</v>
      </c>
      <c r="H47" s="552">
        <v>0.59</v>
      </c>
      <c r="I47" s="552">
        <v>5.84</v>
      </c>
      <c r="J47" s="552">
        <v>5.43</v>
      </c>
      <c r="K47" s="552">
        <v>0</v>
      </c>
      <c r="L47" s="552">
        <v>0</v>
      </c>
    </row>
    <row r="48" spans="8:12" ht="14.25">
      <c r="H48" s="549"/>
      <c r="I48" s="549"/>
      <c r="J48" s="549"/>
      <c r="K48" s="549"/>
      <c r="L48" s="549"/>
    </row>
    <row r="49" spans="8:12" ht="14.25">
      <c r="H49" s="548">
        <v>42.82</v>
      </c>
      <c r="I49" s="548">
        <v>49.47</v>
      </c>
      <c r="J49" s="548">
        <v>55.73</v>
      </c>
      <c r="K49" s="548">
        <v>0</v>
      </c>
      <c r="L49" s="548">
        <v>0</v>
      </c>
    </row>
    <row r="50" spans="8:12" ht="14.25">
      <c r="H50" s="541"/>
      <c r="I50" s="541"/>
      <c r="J50" s="541"/>
      <c r="K50" s="541"/>
      <c r="L50" s="541"/>
    </row>
    <row r="51" spans="8:12" ht="14.25">
      <c r="H51" s="543"/>
      <c r="I51" s="543"/>
      <c r="J51" s="543"/>
      <c r="K51" s="543"/>
      <c r="L51" s="543"/>
    </row>
    <row r="52" spans="8:12" ht="14.25">
      <c r="H52" s="541"/>
      <c r="I52" s="541"/>
      <c r="J52" s="541"/>
      <c r="K52" s="541"/>
      <c r="L52" s="541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" sqref="C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3" t="s">
        <v>700</v>
      </c>
      <c r="D1" s="383" t="s">
        <v>696</v>
      </c>
      <c r="E1" s="383" t="s">
        <v>697</v>
      </c>
      <c r="F1" s="383" t="s">
        <v>698</v>
      </c>
      <c r="G1" s="383" t="s">
        <v>699</v>
      </c>
      <c r="H1" s="383" t="s">
        <v>610</v>
      </c>
      <c r="J1" s="389" t="s">
        <v>776</v>
      </c>
    </row>
    <row r="2" spans="3:8" ht="12.75">
      <c r="C2" s="383" t="s">
        <v>701</v>
      </c>
      <c r="D2" s="383" t="s">
        <v>701</v>
      </c>
      <c r="E2" s="383" t="s">
        <v>701</v>
      </c>
      <c r="F2" s="383" t="s">
        <v>701</v>
      </c>
      <c r="G2" s="383" t="s">
        <v>701</v>
      </c>
      <c r="H2" s="383" t="s">
        <v>701</v>
      </c>
    </row>
    <row r="3" spans="1:9" ht="12.75">
      <c r="A3">
        <v>1</v>
      </c>
      <c r="B3" t="s">
        <v>312</v>
      </c>
      <c r="D3" s="313">
        <v>695.6</v>
      </c>
      <c r="E3" s="313">
        <v>717.4</v>
      </c>
      <c r="F3" s="313">
        <v>734</v>
      </c>
      <c r="G3" s="313">
        <v>747</v>
      </c>
      <c r="H3" s="313">
        <v>756.3</v>
      </c>
      <c r="I3" t="s">
        <v>416</v>
      </c>
    </row>
    <row r="4" spans="1:9" ht="12.75">
      <c r="A4">
        <v>2</v>
      </c>
      <c r="B4" t="s">
        <v>314</v>
      </c>
      <c r="D4" s="313">
        <v>72.1</v>
      </c>
      <c r="E4" s="313">
        <v>72.1</v>
      </c>
      <c r="F4" s="313">
        <v>72.1</v>
      </c>
      <c r="G4" s="313">
        <v>72.1</v>
      </c>
      <c r="H4" s="313">
        <v>72.1</v>
      </c>
      <c r="I4" t="s">
        <v>416</v>
      </c>
    </row>
    <row r="5" spans="1:9" ht="12.75">
      <c r="A5">
        <v>3</v>
      </c>
      <c r="B5" t="s">
        <v>184</v>
      </c>
      <c r="D5" s="313">
        <v>-50.3</v>
      </c>
      <c r="E5" s="313">
        <v>-55.5</v>
      </c>
      <c r="F5" s="313">
        <v>-59.1</v>
      </c>
      <c r="G5" s="313">
        <v>-62.7</v>
      </c>
      <c r="H5" s="313">
        <v>-66.3</v>
      </c>
      <c r="I5" t="s">
        <v>416</v>
      </c>
    </row>
    <row r="6" spans="1:9" ht="12.75">
      <c r="A6">
        <v>4</v>
      </c>
      <c r="B6" t="s">
        <v>86</v>
      </c>
      <c r="D6" s="313">
        <v>717.4</v>
      </c>
      <c r="E6" s="313">
        <v>734</v>
      </c>
      <c r="F6" s="313">
        <v>747</v>
      </c>
      <c r="G6" s="313">
        <v>756.3</v>
      </c>
      <c r="H6" s="313">
        <v>762.1</v>
      </c>
      <c r="I6" t="s">
        <v>416</v>
      </c>
    </row>
    <row r="7" spans="1:8" ht="12.75">
      <c r="A7">
        <v>5</v>
      </c>
      <c r="B7" t="s">
        <v>582</v>
      </c>
      <c r="D7" s="313">
        <v>695.6</v>
      </c>
      <c r="F7" t="s">
        <v>416</v>
      </c>
      <c r="H7">
        <v>581.8</v>
      </c>
    </row>
    <row r="8" spans="1:8" ht="12.75">
      <c r="A8">
        <v>6</v>
      </c>
      <c r="B8" t="s">
        <v>695</v>
      </c>
      <c r="E8" t="s">
        <v>416</v>
      </c>
      <c r="H8">
        <v>113.7</v>
      </c>
    </row>
    <row r="9" ht="12.75">
      <c r="A9" s="385" t="s">
        <v>759</v>
      </c>
    </row>
    <row r="10" spans="1:9" ht="12.75">
      <c r="A10">
        <v>7</v>
      </c>
      <c r="B10" t="s">
        <v>772</v>
      </c>
      <c r="D10" s="313">
        <v>53.2</v>
      </c>
      <c r="E10" s="313">
        <v>55.2</v>
      </c>
      <c r="F10" s="313">
        <v>56</v>
      </c>
      <c r="G10" s="313">
        <v>55.5</v>
      </c>
      <c r="H10" s="313">
        <v>55.1</v>
      </c>
      <c r="I10" t="s">
        <v>416</v>
      </c>
    </row>
    <row r="11" spans="1:9" ht="12.75">
      <c r="A11">
        <v>8</v>
      </c>
      <c r="B11" t="s">
        <v>773</v>
      </c>
      <c r="D11" s="313">
        <v>63.8</v>
      </c>
      <c r="E11" s="313">
        <v>63.7</v>
      </c>
      <c r="F11" s="313">
        <v>63.5</v>
      </c>
      <c r="G11" s="313">
        <v>63.4</v>
      </c>
      <c r="H11" s="313">
        <v>63.3</v>
      </c>
      <c r="I11" t="s">
        <v>416</v>
      </c>
    </row>
    <row r="12" spans="1:9" ht="12.75">
      <c r="A12">
        <v>9</v>
      </c>
      <c r="B12" t="s">
        <v>774</v>
      </c>
      <c r="D12" s="313">
        <v>14.4</v>
      </c>
      <c r="E12" s="313">
        <v>14.6</v>
      </c>
      <c r="F12" s="313">
        <v>14.8</v>
      </c>
      <c r="G12" s="313">
        <v>15</v>
      </c>
      <c r="H12" s="313">
        <v>15.2</v>
      </c>
      <c r="I12" t="s">
        <v>416</v>
      </c>
    </row>
    <row r="13" spans="1:9" ht="12.75">
      <c r="A13">
        <v>10</v>
      </c>
      <c r="B13" t="s">
        <v>59</v>
      </c>
      <c r="D13" s="313">
        <v>15.8</v>
      </c>
      <c r="E13" s="313">
        <v>16.4</v>
      </c>
      <c r="F13" s="313">
        <v>17.1</v>
      </c>
      <c r="G13" s="313">
        <v>17.8</v>
      </c>
      <c r="H13" s="313">
        <v>18.6</v>
      </c>
      <c r="I13" t="s">
        <v>416</v>
      </c>
    </row>
    <row r="14" spans="1:9" ht="12.75">
      <c r="A14">
        <v>11</v>
      </c>
      <c r="B14" t="s">
        <v>775</v>
      </c>
      <c r="D14" s="313">
        <v>4.5</v>
      </c>
      <c r="E14" s="313">
        <v>4.1</v>
      </c>
      <c r="F14" s="313">
        <v>2.8</v>
      </c>
      <c r="G14" s="313">
        <v>1.8</v>
      </c>
      <c r="H14" s="313">
        <v>0.9</v>
      </c>
      <c r="I14" t="s">
        <v>416</v>
      </c>
    </row>
    <row r="15" spans="1:9" ht="12.75">
      <c r="A15">
        <v>12</v>
      </c>
      <c r="B15" t="s">
        <v>587</v>
      </c>
      <c r="D15" s="313">
        <v>1.4</v>
      </c>
      <c r="E15" s="313">
        <v>1.5</v>
      </c>
      <c r="F15" s="313">
        <v>1.5</v>
      </c>
      <c r="G15" s="313">
        <v>1.5</v>
      </c>
      <c r="H15" s="313">
        <v>1.5</v>
      </c>
      <c r="I15" t="s">
        <v>416</v>
      </c>
    </row>
    <row r="16" spans="1:9" ht="12.75">
      <c r="A16">
        <v>13</v>
      </c>
      <c r="B16" t="s">
        <v>716</v>
      </c>
      <c r="D16" s="313"/>
      <c r="E16" s="313"/>
      <c r="F16" s="313"/>
      <c r="G16" s="313"/>
      <c r="H16" s="313"/>
      <c r="I16" t="s">
        <v>416</v>
      </c>
    </row>
    <row r="17" spans="1:9" ht="12.75">
      <c r="A17">
        <v>14</v>
      </c>
      <c r="B17" t="s">
        <v>717</v>
      </c>
      <c r="D17" s="313">
        <v>1.7</v>
      </c>
      <c r="E17" s="313">
        <v>1.7</v>
      </c>
      <c r="F17" s="313">
        <v>1.7</v>
      </c>
      <c r="G17" s="313">
        <v>1.7</v>
      </c>
      <c r="H17" s="313">
        <v>1.7</v>
      </c>
      <c r="I17" t="s">
        <v>416</v>
      </c>
    </row>
    <row r="18" spans="1:9" ht="12.75">
      <c r="A18">
        <v>15</v>
      </c>
      <c r="B18" t="s">
        <v>90</v>
      </c>
      <c r="D18">
        <v>1.6</v>
      </c>
      <c r="E18" s="313"/>
      <c r="F18" s="313"/>
      <c r="G18" s="313"/>
      <c r="H18" s="313"/>
      <c r="I18" t="s">
        <v>416</v>
      </c>
    </row>
    <row r="19" spans="1:9" ht="12.75">
      <c r="A19">
        <v>16</v>
      </c>
      <c r="B19" t="s">
        <v>249</v>
      </c>
      <c r="D19" s="386">
        <v>156.5</v>
      </c>
      <c r="E19" s="386">
        <v>157.2</v>
      </c>
      <c r="F19" s="386">
        <v>157.4</v>
      </c>
      <c r="G19" s="386">
        <v>156.8</v>
      </c>
      <c r="H19" s="386">
        <v>156.3</v>
      </c>
      <c r="I19" t="s">
        <v>416</v>
      </c>
    </row>
    <row r="20" spans="1:9" ht="12.75">
      <c r="A20">
        <v>17</v>
      </c>
      <c r="B20" t="s">
        <v>718</v>
      </c>
      <c r="D20" s="313">
        <v>152.3</v>
      </c>
      <c r="E20" s="313">
        <v>144.9</v>
      </c>
      <c r="F20" s="313">
        <v>137.5</v>
      </c>
      <c r="G20" s="313">
        <v>129.8</v>
      </c>
      <c r="H20" s="313">
        <v>122.6</v>
      </c>
      <c r="I20" t="s">
        <v>416</v>
      </c>
    </row>
    <row r="21" spans="1:8" ht="12.75">
      <c r="A21">
        <v>18</v>
      </c>
      <c r="B21" t="s">
        <v>42</v>
      </c>
      <c r="E21" t="s">
        <v>416</v>
      </c>
      <c r="H21">
        <v>113.7</v>
      </c>
    </row>
    <row r="22" spans="1:8" ht="12.75">
      <c r="A22">
        <v>19</v>
      </c>
      <c r="B22" s="384" t="s">
        <v>719</v>
      </c>
      <c r="H22" s="313">
        <v>800.9</v>
      </c>
    </row>
    <row r="23" ht="12.75">
      <c r="A23" s="385" t="s">
        <v>386</v>
      </c>
    </row>
    <row r="24" spans="1:9" ht="12.75">
      <c r="A24">
        <v>20</v>
      </c>
      <c r="B24" t="s">
        <v>180</v>
      </c>
      <c r="D24" s="313">
        <v>1</v>
      </c>
      <c r="E24" s="313">
        <v>1.013</v>
      </c>
      <c r="F24" s="313">
        <v>1.027</v>
      </c>
      <c r="G24" s="313">
        <v>1.038</v>
      </c>
      <c r="H24" s="313">
        <v>1.051</v>
      </c>
      <c r="I24" t="s">
        <v>416</v>
      </c>
    </row>
    <row r="25" spans="1:9" ht="12.75">
      <c r="A25">
        <v>21</v>
      </c>
      <c r="B25" t="s">
        <v>181</v>
      </c>
      <c r="D25" s="313">
        <v>0.973</v>
      </c>
      <c r="E25" s="313">
        <v>0.934</v>
      </c>
      <c r="F25" s="313">
        <v>0.897</v>
      </c>
      <c r="G25" s="313">
        <v>0.86</v>
      </c>
      <c r="H25" s="313">
        <v>0.825</v>
      </c>
      <c r="I25" t="s">
        <v>416</v>
      </c>
    </row>
    <row r="26" spans="1:9" ht="12.75">
      <c r="A26">
        <v>22</v>
      </c>
      <c r="B26" t="s">
        <v>182</v>
      </c>
      <c r="C26" s="387">
        <v>173.1</v>
      </c>
      <c r="D26" s="387">
        <v>175.6</v>
      </c>
      <c r="E26" s="387">
        <v>177.8</v>
      </c>
      <c r="F26" s="387">
        <v>180.3</v>
      </c>
      <c r="G26" s="387">
        <v>182.3</v>
      </c>
      <c r="H26" s="388">
        <v>184.6</v>
      </c>
      <c r="I26" t="s">
        <v>416</v>
      </c>
    </row>
    <row r="27" spans="1:9" ht="12.75">
      <c r="A27">
        <v>23</v>
      </c>
      <c r="B27" t="s">
        <v>720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416</v>
      </c>
    </row>
    <row r="28" spans="1:9" ht="12.75">
      <c r="A28">
        <v>24</v>
      </c>
      <c r="B28" t="s">
        <v>82</v>
      </c>
      <c r="D28" s="313">
        <v>178.5</v>
      </c>
      <c r="E28" s="313">
        <v>180.7</v>
      </c>
      <c r="F28" s="313">
        <v>183.2</v>
      </c>
      <c r="G28" s="313">
        <v>185.2</v>
      </c>
      <c r="H28" s="313">
        <v>187.5</v>
      </c>
      <c r="I28" t="s">
        <v>416</v>
      </c>
    </row>
    <row r="29" spans="1:9" ht="12.75">
      <c r="A29">
        <v>25</v>
      </c>
      <c r="B29" t="s">
        <v>721</v>
      </c>
      <c r="D29" s="313">
        <v>173.7</v>
      </c>
      <c r="E29" s="313">
        <v>166.7</v>
      </c>
      <c r="F29" s="313">
        <v>160.1</v>
      </c>
      <c r="G29" s="313">
        <v>153.3</v>
      </c>
      <c r="H29" s="313">
        <v>147.1</v>
      </c>
      <c r="I29" t="s">
        <v>416</v>
      </c>
    </row>
    <row r="30" spans="1:8" ht="12.75">
      <c r="A30">
        <v>26</v>
      </c>
      <c r="B30" t="s">
        <v>719</v>
      </c>
      <c r="H30" s="386">
        <v>800.9</v>
      </c>
    </row>
    <row r="32" ht="12.75">
      <c r="A32" t="s">
        <v>567</v>
      </c>
    </row>
    <row r="33" ht="12.75">
      <c r="A33" s="390" t="s">
        <v>645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syeo</cp:lastModifiedBy>
  <cp:lastPrinted>2012-12-03T11:11:33Z</cp:lastPrinted>
  <dcterms:created xsi:type="dcterms:W3CDTF">2009-07-13T08:35:25Z</dcterms:created>
  <dcterms:modified xsi:type="dcterms:W3CDTF">2012-12-03T11:11:35Z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