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4085" windowHeight="10185" tabRatio="834" activeTab="1"/>
  </bookViews>
  <sheets>
    <sheet name="Inputs" sheetId="1" r:id="rId1"/>
    <sheet name="Splits and results" sheetId="2" r:id="rId2"/>
    <sheet name="Allocation Summary" sheetId="3" r:id="rId3"/>
    <sheet name="WPD - Final Allocation" sheetId="4" r:id="rId4"/>
    <sheet name="Calc - WPD Opex Allocation" sheetId="5" r:id="rId5"/>
    <sheet name="Calc-Units" sheetId="6" r:id="rId6"/>
    <sheet name="Calc-Drivers" sheetId="7" r:id="rId7"/>
    <sheet name="Calc-MEAV" sheetId="8" r:id="rId8"/>
    <sheet name="Calc-Net capex" sheetId="9" r:id="rId9"/>
    <sheet name="Summary of revenue" sheetId="10" r:id="rId10"/>
    <sheet name="Allowed revenue -DPCR4" sheetId="11" r:id="rId11"/>
    <sheet name="FBPQ T4" sheetId="12" r:id="rId12"/>
    <sheet name="FBPQ LR1" sheetId="13" r:id="rId13"/>
    <sheet name="FBPQ LR4" sheetId="14" r:id="rId14"/>
    <sheet name="FBPQ LR6" sheetId="15" r:id="rId15"/>
    <sheet name="FBPQ NL1" sheetId="16" r:id="rId16"/>
    <sheet name="FBPQ C2" sheetId="17" r:id="rId17"/>
    <sheet name="RRP 1.3" sheetId="18" r:id="rId18"/>
    <sheet name="RRP 2.3" sheetId="19" r:id="rId19"/>
    <sheet name="RRP 2.4" sheetId="20" r:id="rId20"/>
    <sheet name="RRP 2.6" sheetId="21" r:id="rId21"/>
    <sheet name="RRP 5.1" sheetId="22" r:id="rId22"/>
  </sheets>
  <definedNames>
    <definedName name="_xlnm.Print_Titles" localSheetId="21">'RRP 5.1'!$A:$B,'RRP 5.1'!$1:$2</definedName>
  </definedNames>
  <calcPr fullCalcOnLoad="1"/>
</workbook>
</file>

<file path=xl/sharedStrings.xml><?xml version="1.0" encoding="utf-8"?>
<sst xmlns="http://schemas.openxmlformats.org/spreadsheetml/2006/main" count="2768" uniqueCount="851">
  <si>
    <t>Other Costs from full activitty cost allocation</t>
  </si>
  <si>
    <t>Total activity cost - from RRP 1.3</t>
  </si>
  <si>
    <t>Unallocated costs = Total - costs allocated to network tiers</t>
  </si>
  <si>
    <t>Costs allocated to netwrok tiers in RRP - from 2.2 amd 2.3</t>
  </si>
  <si>
    <t>Legacy Basic Meter Asset Provision Revenue</t>
  </si>
  <si>
    <t>DNO HV Main usage</t>
  </si>
  <si>
    <t>Use the data below to populate table 1037. Embedded network (LDNO) discounts</t>
  </si>
  <si>
    <t>Step 1 - extract total activity costs from cost report</t>
  </si>
  <si>
    <t>Step 2. Idnetify costs inlcuded in price control revenues to be allocated by MEAV</t>
  </si>
  <si>
    <t>Step 6.   Adjust costs so that they are aligned with the definition of opex in the allowed price control revenues</t>
  </si>
  <si>
    <t>Operating costs (excl pensions)</t>
  </si>
  <si>
    <t>Capital elements</t>
  </si>
  <si>
    <t>Capex (excl pensions)</t>
  </si>
  <si>
    <t>Pensions</t>
  </si>
  <si>
    <t>Tax allowance</t>
  </si>
  <si>
    <t>HENCE SPLIT OF TARIFFS</t>
  </si>
  <si>
    <t>Capital incentive</t>
  </si>
  <si>
    <t>Capex incentive</t>
  </si>
  <si>
    <t>Sliding scale</t>
  </si>
  <si>
    <t>Sliding scale addn income</t>
  </si>
  <si>
    <t>p/kWh</t>
  </si>
  <si>
    <t>Return</t>
  </si>
  <si>
    <t xml:space="preserve">% by network tier </t>
  </si>
  <si>
    <t xml:space="preserve">The individual activities are defined in the Electricity Distribution Price Control Review Price control cost reporting rules: Instructions and Guidance April 2008 </t>
  </si>
  <si>
    <t>Network Generation Revenue (RGt)</t>
  </si>
  <si>
    <t>Metering Revenue</t>
  </si>
  <si>
    <t>PV of total revenue</t>
  </si>
  <si>
    <t>Source: separate price control disaggregation model.</t>
  </si>
  <si>
    <t>No discount</t>
  </si>
  <si>
    <t>LDNO LV: LV user</t>
  </si>
  <si>
    <t>LDNO HV: LV user</t>
  </si>
  <si>
    <t>LDNO HV: LV sub user</t>
  </si>
  <si>
    <t>LDNO HV: HV user</t>
  </si>
  <si>
    <t>LDNO discount</t>
  </si>
  <si>
    <t>% Cost capitalised (from DCPR settlement - same for all DNOs)</t>
  </si>
  <si>
    <t>MEAV excl services</t>
  </si>
  <si>
    <t>Total indirect</t>
  </si>
  <si>
    <t>% indirect</t>
  </si>
  <si>
    <t>Inspections, &amp; Maintenance</t>
  </si>
  <si>
    <t>Excluded services revenue</t>
  </si>
  <si>
    <t>Total revenue</t>
  </si>
  <si>
    <t>Unapportioned part of shared HV</t>
  </si>
  <si>
    <t>The LDNO HV: HV user number might not be right.</t>
  </si>
  <si>
    <t>Less Pension deficit payment ?</t>
  </si>
  <si>
    <t>Opex (incl pensions after  57.7% capitalized)</t>
  </si>
  <si>
    <t>Closing asset value</t>
  </si>
  <si>
    <t>Less fixed costs ?</t>
  </si>
  <si>
    <t>n</t>
  </si>
  <si>
    <t>Quality Reward</t>
  </si>
  <si>
    <t>Present value of opening/closing RAV</t>
  </si>
  <si>
    <t>DPCR3 costs</t>
  </si>
  <si>
    <t>5 year movement in closing RAV</t>
  </si>
  <si>
    <t>Total revenue to share</t>
  </si>
  <si>
    <t>Total Opex</t>
  </si>
  <si>
    <t>Non-activity costs include Ofgem licence fee, Shetland Balancing Costs (SHEPD only), Scottish Electricity Settlements run-off (Scottish DNOs only) and proceeds of asset sales; and reconciling amounts, e.g. intra-group recharges treated as de minimis costs</t>
  </si>
  <si>
    <t>Excluded Services and Revenue Outside of Price Control</t>
  </si>
  <si>
    <t>Excluded Services</t>
  </si>
  <si>
    <t>Revenue Outside of Price Control</t>
  </si>
  <si>
    <t>Di-Minimis Revenue</t>
  </si>
  <si>
    <t>Under/over revoery</t>
  </si>
  <si>
    <t>MEAV  - LV, HV, EHV, 132kV split</t>
  </si>
  <si>
    <t>MEAV  - LV, LV/HV, HV, EHV, 132kV split</t>
  </si>
  <si>
    <t>LV/HV</t>
  </si>
  <si>
    <t>Sum connecions/reinforcement/replacement capex -see below</t>
  </si>
  <si>
    <t>Connections spend minus customer contrbutions (from FBPQ LR1)</t>
  </si>
  <si>
    <t>FBPQ capex - see "Calc Net capex"</t>
  </si>
  <si>
    <t>FBPQ capex - see "Calc MEAV"</t>
  </si>
  <si>
    <t>Basic Meter Operation Revenue</t>
  </si>
  <si>
    <t>Connection/Reinfircement/Replacement Capex LV, HV, EHV, 132kV split</t>
  </si>
  <si>
    <t>From SEPD method A spreadsheet</t>
  </si>
  <si>
    <t>Input pension deficit payment</t>
  </si>
  <si>
    <t>Net Movement on Revenue Provisions</t>
  </si>
  <si>
    <t>Over/Under Recovery</t>
  </si>
  <si>
    <t>Allowed Network Generation Revenue (AGt)</t>
  </si>
  <si>
    <t>Incentivised Generation (IGt)</t>
  </si>
  <si>
    <t>Registered Power Zones (RPZt)</t>
  </si>
  <si>
    <t>Correction Factor (KGt)</t>
  </si>
  <si>
    <t>MEAV excl services and 50% LV network</t>
  </si>
  <si>
    <t>Quality reward/Opex incentive &amp; Other Adjustments</t>
  </si>
  <si>
    <t>Not to be split</t>
  </si>
  <si>
    <t>PV of excluded service revenue</t>
  </si>
  <si>
    <t>Total Net Capex 2005/06 -2014/15 LV, LV/HV, HV, EHV, 132kV split</t>
  </si>
  <si>
    <t>Step 3.  Allocate costs not directly atttibutable to network teirs to network tiers using MEAV</t>
  </si>
  <si>
    <t>Step 4.  Sum directly atttibuted and allocated costs</t>
  </si>
  <si>
    <t>EHV Sub Cable</t>
  </si>
  <si>
    <t>33 KV CB (ID)</t>
  </si>
  <si>
    <t>33 kV CB (OD)</t>
  </si>
  <si>
    <t>33 kV Switch (GM)</t>
  </si>
  <si>
    <t>33 kV Switch (PM)</t>
  </si>
  <si>
    <t>33 kV RMU</t>
  </si>
  <si>
    <t>33 kV Switchgear - Other</t>
  </si>
  <si>
    <t>66 KV CB (ID &amp; OD)</t>
  </si>
  <si>
    <t>66 KV Switchgear - Other</t>
  </si>
  <si>
    <t>33 kV Transformer (PM)</t>
  </si>
  <si>
    <t>33 kV Transformer (GM)</t>
  </si>
  <si>
    <t>33 kV AuxiliaryTransfomer</t>
  </si>
  <si>
    <t>Fault reniforcement Capex 2005/06 -2014/15 (£m)</t>
  </si>
  <si>
    <t>(from FBPQ LR6)</t>
  </si>
  <si>
    <t>Replacement Capex 2005/06 -2014/15 (£m)</t>
  </si>
  <si>
    <t xml:space="preserve"> (from FBPQ NL1)</t>
  </si>
  <si>
    <t>Total Net Capex</t>
  </si>
  <si>
    <t>% of Total</t>
  </si>
  <si>
    <t>Net Capex</t>
  </si>
  <si>
    <t>Opex only on p/kWh throughput</t>
  </si>
  <si>
    <t>HV/LV</t>
  </si>
  <si>
    <t>Cash typical costs (excluding disallowed related party margins)</t>
  </si>
  <si>
    <t>Weighted Average (after incentive and pencsion deficit costs removed and weighted by units flowing)</t>
  </si>
  <si>
    <t>Memorandum Information - Scottish DNOs 132kV</t>
  </si>
  <si>
    <t>Step 3. Remove incentive reveune and pension deficit payment from allocations</t>
  </si>
  <si>
    <t>Step 3.a. Split out pension deficit and incentive payments</t>
  </si>
  <si>
    <t>NET CAPEX SPLIT FROM "CALC -NET CAPEX" SHEET</t>
  </si>
  <si>
    <t>OVERALL OPEX SPLIT FROM "CALC WPD OPEX ALLOCATYION" SHEET</t>
  </si>
  <si>
    <t>CAUTION - THIS PACK DOES NOT BALANCE</t>
  </si>
  <si>
    <t>Electricity Distribution Industry Activity Costs - individual DNO input</t>
  </si>
  <si>
    <t>Pension deficit payments made by a related party and not charged in the regulatory accounts of the DNO</t>
  </si>
  <si>
    <t>Total Annual Operating &amp; Capital Expenditure per Regulatory Accounts has been adjusted, where appropriate, to include intangible fixed assets and customer contributions, the latter may be reported within Creditors as deferred income</t>
  </si>
  <si>
    <t>This information has not been audited.</t>
  </si>
  <si>
    <t>33kV UG Cable (Non Pressurised)</t>
  </si>
  <si>
    <t>33kV UG Cable (Oil)</t>
  </si>
  <si>
    <t>33kV UG Cable (Gas)</t>
  </si>
  <si>
    <t>Propportion of costs allocated to Opex and Capex</t>
  </si>
  <si>
    <t>Cost drivers - lookup from "Calc-Drivers"</t>
  </si>
  <si>
    <t>Proportion of cost allocated to each network tier</t>
  </si>
  <si>
    <t>LV only</t>
  </si>
  <si>
    <t>HV only</t>
  </si>
  <si>
    <t>Net (gross directs - customer contributions directs and indirects)</t>
  </si>
  <si>
    <t>Demand trends</t>
  </si>
  <si>
    <t>Estimated system maximum demand</t>
  </si>
  <si>
    <t>Insert name of cost driver</t>
  </si>
  <si>
    <t>Increase (reduction) in units distributed</t>
  </si>
  <si>
    <t>66kV UG Cable (Oil)</t>
  </si>
  <si>
    <t>66kV UG Cable (Gas)</t>
  </si>
  <si>
    <t>Estimated units distributed</t>
  </si>
  <si>
    <t>PV of allowed items</t>
  </si>
  <si>
    <t>Allocation of allowed revenue to:-</t>
  </si>
  <si>
    <t>TOTAL PV OVER 5 YEARS</t>
  </si>
  <si>
    <t>All LV Tariffs</t>
  </si>
  <si>
    <t>HV Tariffs</t>
  </si>
  <si>
    <t>EHV Tariffs</t>
  </si>
  <si>
    <t>Revenue index</t>
  </si>
  <si>
    <t>Discounted revenue index</t>
  </si>
  <si>
    <t>Price control revenue</t>
  </si>
  <si>
    <t>Less incentive revenue ?</t>
  </si>
  <si>
    <t>Depreciation</t>
  </si>
  <si>
    <t>132kV Fittings (Tower Line)</t>
  </si>
  <si>
    <t>Connections/disconnections volume</t>
  </si>
  <si>
    <t>Connections/Disconnections</t>
  </si>
  <si>
    <t>Direct cost %</t>
  </si>
  <si>
    <t>Is DNO Unit cost if avaliable, otherwise PB power unit cost</t>
  </si>
  <si>
    <t>(Profit) / Loss on Disposal</t>
  </si>
  <si>
    <t>Weighted Average</t>
  </si>
  <si>
    <t>Customers</t>
  </si>
  <si>
    <t>WPD Method</t>
  </si>
  <si>
    <t>Unallocated</t>
  </si>
  <si>
    <t>Depriciation</t>
  </si>
  <si>
    <t>Incentive revenue</t>
  </si>
  <si>
    <t>Excluded</t>
  </si>
  <si>
    <t>I) DPCR3 type presentation</t>
  </si>
  <si>
    <t>ii) DPCR4 type presentation</t>
  </si>
  <si>
    <t>Total allowed income</t>
  </si>
  <si>
    <t>Customer contributions (directs) total</t>
  </si>
  <si>
    <t>Customer contributions (indirects)</t>
  </si>
  <si>
    <t>Customer contributions total</t>
  </si>
  <si>
    <t>Allowed pass through items</t>
  </si>
  <si>
    <t>MEAV (£)</t>
  </si>
  <si>
    <t>MEAV by Voltage Level</t>
  </si>
  <si>
    <t>Total MEAV</t>
  </si>
  <si>
    <t>Units (kWh) flowing through each level, loss-adjusted to LV</t>
  </si>
  <si>
    <t>Connection/Reinfircement/Replacement Capex LV, LV/HV, HV, EHV, 132kV split</t>
  </si>
  <si>
    <t>Total Net Capex 2005/06 -2014/15 LV, HV, EHV, 132kV split</t>
  </si>
  <si>
    <t>MEAV  - LV (excl. services), LV/HV, HV, EHV, 132kV split</t>
  </si>
  <si>
    <t>MEAV  - LV (excl. services + 50%LV), LV/HV, HV, EHV, 132kV split</t>
  </si>
  <si>
    <t>Drivers - LV, LV/HV, HV, EHV split</t>
  </si>
  <si>
    <t>No. of switchboards @ &gt;95% of F.L.</t>
  </si>
  <si>
    <t>LV Network</t>
  </si>
  <si>
    <t>LV Main (OHL)</t>
  </si>
  <si>
    <t>LV Service (OHL)</t>
  </si>
  <si>
    <t>Total capital</t>
  </si>
  <si>
    <t>Total capital ex depreciation</t>
  </si>
  <si>
    <t>Non-load new &amp; replacement assets (net of contributions)</t>
  </si>
  <si>
    <t>Non-operational capex</t>
  </si>
  <si>
    <t>Indirect activities</t>
  </si>
  <si>
    <t>Substations</t>
  </si>
  <si>
    <t>Do not allocate</t>
  </si>
  <si>
    <t>CEO etc</t>
  </si>
  <si>
    <t>Atypical cash costs</t>
  </si>
  <si>
    <t>Pension deficit payments</t>
  </si>
  <si>
    <t>As at 31st March 2015</t>
  </si>
  <si>
    <t>No. Substations</t>
  </si>
  <si>
    <t>Network Length</t>
  </si>
  <si>
    <t>No Cutomers</t>
  </si>
  <si>
    <t>Tranmission Exit Charges</t>
  </si>
  <si>
    <t>Catergory</t>
  </si>
  <si>
    <t>Source</t>
  </si>
  <si>
    <t>RRP table 5.1</t>
  </si>
  <si>
    <t>Notes</t>
  </si>
  <si>
    <t>N/A</t>
  </si>
  <si>
    <t>Assumption</t>
  </si>
  <si>
    <t>MEAV</t>
  </si>
  <si>
    <t>C2 - Unit costs</t>
  </si>
  <si>
    <t>No. of schemes</t>
  </si>
  <si>
    <t>Switchboards</t>
  </si>
  <si>
    <t>Opex and transmission exit charges</t>
  </si>
  <si>
    <t>Total direct+other</t>
  </si>
  <si>
    <t>Total inc. exp on DSM to avoid customer spec investment (net of cust cont)</t>
  </si>
  <si>
    <t>Unapportioned part of shared LV</t>
  </si>
  <si>
    <t>LR6 - Fault levels</t>
  </si>
  <si>
    <t>Fault level system measures</t>
  </si>
  <si>
    <t>As at 31st March 2010</t>
  </si>
  <si>
    <t>Unapportioned part of shared EHV</t>
  </si>
  <si>
    <t>Unapportioned part of shared 132kV</t>
  </si>
  <si>
    <t>132 kV</t>
  </si>
  <si>
    <t>General reniforcement Capex 2005/06 -2014/15 (£m)</t>
  </si>
  <si>
    <t>(from FBPQ LR4)</t>
  </si>
  <si>
    <t xml:space="preserve">Step 2. Allocate price control revenues to network tiers </t>
  </si>
  <si>
    <t>2007/08 allowed revenue source from page "summary allowed revenue"</t>
  </si>
  <si>
    <t>20 kV CB (GM)</t>
  </si>
  <si>
    <t>20 kV Switch (PM)</t>
  </si>
  <si>
    <t>20 kV Switch (GM)</t>
  </si>
  <si>
    <t>Year ended</t>
  </si>
  <si>
    <t>Health &amp; Safety &amp; Operational Training</t>
  </si>
  <si>
    <t>20 kV RMU</t>
  </si>
  <si>
    <t>31 March 2008</t>
  </si>
  <si>
    <t>Adjustments on T4.3</t>
  </si>
  <si>
    <t>31 March 2007</t>
  </si>
  <si>
    <t>31 March 2006</t>
  </si>
  <si>
    <t>20 kV Switchgear - Other (GM)</t>
  </si>
  <si>
    <t xml:space="preserve">Transformers  </t>
  </si>
  <si>
    <t>6.6/11 kV Transformer (PM)</t>
  </si>
  <si>
    <t>6.6/11 kV Transformer (GM)</t>
  </si>
  <si>
    <t>20 kV Transformer (PM)</t>
  </si>
  <si>
    <t>20 kV Transformer (GM)</t>
  </si>
  <si>
    <t>Opex</t>
  </si>
  <si>
    <t>Capex</t>
  </si>
  <si>
    <t>Estimated number demand connections/disconnections at LV</t>
  </si>
  <si>
    <t>IDNO connections</t>
  </si>
  <si>
    <t>#</t>
  </si>
  <si>
    <t>Connections (excluding IDNOs)</t>
  </si>
  <si>
    <t>THESE % ARE USED TO ALLOCATE PRICE CONTROL OPEX</t>
  </si>
  <si>
    <t>Pass through Items (PTt)</t>
  </si>
  <si>
    <t>Incentive Revenue (Ipt)</t>
  </si>
  <si>
    <t>Correction Factor (KDt)</t>
  </si>
  <si>
    <t>Allowed Demand Revenue (Adt)</t>
  </si>
  <si>
    <t>Regulated Demand Revenue (RDt)</t>
  </si>
  <si>
    <t>Base Demand Revenue  (BRt)</t>
  </si>
  <si>
    <t>EHV Network</t>
  </si>
  <si>
    <t>33kV OHL (Pole Line)</t>
  </si>
  <si>
    <t>33kV OHL (Tower Line)</t>
  </si>
  <si>
    <t>66kV OHL (Pole Line)</t>
  </si>
  <si>
    <t>66kV OHL (Tower Line)</t>
  </si>
  <si>
    <t>33kV Pole</t>
  </si>
  <si>
    <t>33kV Tower</t>
  </si>
  <si>
    <t>66kV Pole</t>
  </si>
  <si>
    <t>66kV Tower</t>
  </si>
  <si>
    <t>103. Units distributed (GWh) from RRP table 5.1</t>
  </si>
  <si>
    <t>Units distributed (GWh) from RRP table 5.1</t>
  </si>
  <si>
    <t>Units distributed at LV</t>
  </si>
  <si>
    <t>Units distributed at HV</t>
  </si>
  <si>
    <t>66kV UG Cable (Non Pressurised)</t>
  </si>
  <si>
    <t>Summary of Revenue</t>
  </si>
  <si>
    <t>Allowed Demand Revenue (ADt)</t>
  </si>
  <si>
    <t>Closing Balance DPCR4</t>
  </si>
  <si>
    <t>LRE</t>
  </si>
  <si>
    <t>NLRE</t>
  </si>
  <si>
    <t>Overhead lines - Conductor</t>
  </si>
  <si>
    <t>Sum of direct and indriect replacement unit cost from FBPQ C2</t>
  </si>
  <si>
    <t>Incremental increase in max demand due to new connections</t>
  </si>
  <si>
    <t>Incremental reduction in max demand due to disconnections</t>
  </si>
  <si>
    <t>Total units distributed</t>
  </si>
  <si>
    <t>Increase (reduction) in max demand</t>
  </si>
  <si>
    <t>Net change in max demand (not due to connections/disconnections)</t>
  </si>
  <si>
    <t>Units distributed offset by DSM</t>
  </si>
  <si>
    <t xml:space="preserve">Price impact on units distributed </t>
  </si>
  <si>
    <t xml:space="preserve">Economic downturn effect on units distributed </t>
  </si>
  <si>
    <t>EHV (inc. 132kV)</t>
  </si>
  <si>
    <t>66 kV Transformer</t>
  </si>
  <si>
    <t>66 kV AuxiliaryTransfomer</t>
  </si>
  <si>
    <t>132kV Network</t>
  </si>
  <si>
    <t>132kV OHL Conductor (Pole Line)</t>
  </si>
  <si>
    <t>132kV OHL Conductor (Tower Line)</t>
  </si>
  <si>
    <t>132kV Pole</t>
  </si>
  <si>
    <t>132kV Tower</t>
  </si>
  <si>
    <t>From 2007/08 revenue summary</t>
  </si>
  <si>
    <t>Opening asset value</t>
  </si>
  <si>
    <t>Allowed revenue</t>
  </si>
  <si>
    <t>Total capex</t>
  </si>
  <si>
    <t>Sum of MEAV of asset classified in voltage tier (as calculated below)</t>
  </si>
  <si>
    <t>Drivers - LV, HV, EHV split</t>
  </si>
  <si>
    <t>Customer contributions (directs) for connections at 132kV</t>
  </si>
  <si>
    <t>Total Net Non-load replacement (Direct Costs)</t>
  </si>
  <si>
    <t xml:space="preserve">          Non-operational </t>
  </si>
  <si>
    <t>Owned by DNO</t>
  </si>
  <si>
    <t>Owned by related party</t>
  </si>
  <si>
    <t>Plant &amp; Machinery</t>
  </si>
  <si>
    <t>Small Tools &amp; Equipment</t>
  </si>
  <si>
    <t>Office Equipment</t>
  </si>
  <si>
    <t>No. of switchboards having fault level 'operational restrictions'</t>
  </si>
  <si>
    <t>Number of fault level schemes</t>
  </si>
  <si>
    <t>Switchgear, Transformers, Substation</t>
  </si>
  <si>
    <t>Underground - Pressure assisted</t>
  </si>
  <si>
    <t>Underground - Non Pressure assisted</t>
  </si>
  <si>
    <t>Submarine cables - all voltages</t>
  </si>
  <si>
    <t>Check</t>
  </si>
  <si>
    <t>Total proactive condition based replacement (£m)</t>
  </si>
  <si>
    <t>Reactive condition-based replacement (fault)</t>
  </si>
  <si>
    <t>Total reactive condition based replacement (£m)</t>
  </si>
  <si>
    <t>Overhead line refurbishment / replacement</t>
  </si>
  <si>
    <t>2014/015</t>
  </si>
  <si>
    <t>LV Mains</t>
  </si>
  <si>
    <t>Refurbishment</t>
  </si>
  <si>
    <t>Full rebuild</t>
  </si>
  <si>
    <t>Undergrounding</t>
  </si>
  <si>
    <t>Covered Conductor</t>
  </si>
  <si>
    <t>Pole replacement only (i.e. D poles)</t>
  </si>
  <si>
    <t>Connections Capex 2005/06 -2014/15 (£m)</t>
  </si>
  <si>
    <t>132 kV Total</t>
  </si>
  <si>
    <t>Expenditure on DSM to avoid gen reinf.</t>
  </si>
  <si>
    <t>LV Main (UG Plastic)</t>
  </si>
  <si>
    <t>LV Main (UG Paper)</t>
  </si>
  <si>
    <t>LV Service (UG)</t>
  </si>
  <si>
    <t xml:space="preserve">Switchgear </t>
  </si>
  <si>
    <t>LV Pillar (ID)</t>
  </si>
  <si>
    <t>LV Pillar (OD)</t>
  </si>
  <si>
    <t>Load related new connections &amp; reinforcement (net of contributions)</t>
  </si>
  <si>
    <t>Asset categories</t>
  </si>
  <si>
    <t xml:space="preserve">New build </t>
  </si>
  <si>
    <t>Replacement</t>
  </si>
  <si>
    <t>Direct costs</t>
  </si>
  <si>
    <t>Transmission Exit Charges</t>
  </si>
  <si>
    <t>EHV only</t>
  </si>
  <si>
    <t>Pension deficit repair payments by related parties (note 2)</t>
  </si>
  <si>
    <t>Non activity costs and reconciling amounts (note 3)</t>
  </si>
  <si>
    <t>20 kV OHL (Covered)</t>
  </si>
  <si>
    <t>Hence DPCR4 revenue made up of</t>
  </si>
  <si>
    <t>Transformers</t>
  </si>
  <si>
    <t>Other</t>
  </si>
  <si>
    <t>Fault level reinforcement</t>
  </si>
  <si>
    <t>Cost including indirects (absorbed costs in T2A)</t>
  </si>
  <si>
    <t>(£k)</t>
  </si>
  <si>
    <t>Direct activities</t>
  </si>
  <si>
    <t>Step 5. Divide cost by units flowing - effectively adjust the cost because of electricity lost as it flows thorugh the network meaning that there is more cost in the lower tiers</t>
  </si>
  <si>
    <t>Total allowed items</t>
  </si>
  <si>
    <t>Income</t>
  </si>
  <si>
    <t>Total Annual Operating &amp; Capital Expenditure per Regulatory Accounts</t>
  </si>
  <si>
    <t>Direct activities - From RRP 2.2 Detailed Cost Matrix</t>
  </si>
  <si>
    <t>Step 1. Format price control allowed revenue data</t>
  </si>
  <si>
    <t>20 kV CB (PM)</t>
  </si>
  <si>
    <t>IT &amp; Telecoms</t>
  </si>
  <si>
    <t>Pension administration costs (reported in HR &amp; Non-op training)</t>
  </si>
  <si>
    <t>20 kV Switchgear - Other (PM)</t>
  </si>
  <si>
    <t>Net (gross directs - customer contributions directs)</t>
  </si>
  <si>
    <t>Increase in units distributed due to generic background demand growth</t>
  </si>
  <si>
    <t xml:space="preserve">Reduction in units distributed due to energy efficiency </t>
  </si>
  <si>
    <t>Units distributed offset by DG</t>
  </si>
  <si>
    <t>New Connections &amp; Customer Specific Reinforcement:</t>
  </si>
  <si>
    <t>Connections provided at LV</t>
  </si>
  <si>
    <t>Connections provided at HV</t>
  </si>
  <si>
    <t>132kV UG Cable (Gas)</t>
  </si>
  <si>
    <t>132 kV Sub Cable</t>
  </si>
  <si>
    <t>132 kV CB (ID &amp; OD)</t>
  </si>
  <si>
    <t>132 kV Switchgear (other)</t>
  </si>
  <si>
    <t>132 kV Transformer</t>
  </si>
  <si>
    <t>132 kV AuxiliaryTransfomer</t>
  </si>
  <si>
    <t>Total all network tiers</t>
  </si>
  <si>
    <t>Total by network tiers</t>
  </si>
  <si>
    <t xml:space="preserve">% </t>
  </si>
  <si>
    <t>Estimated number demand connections/disconnections at HV</t>
  </si>
  <si>
    <t>Tele-control / SCADA</t>
  </si>
  <si>
    <t>Primary substation</t>
  </si>
  <si>
    <t>132 kV/EHV RTU (PM)</t>
  </si>
  <si>
    <t>Allocation of "Unallocated" costs by cost driver to network tiers</t>
  </si>
  <si>
    <t>HV RTU (PM)</t>
  </si>
  <si>
    <t>HV RTU (GM)</t>
  </si>
  <si>
    <t>HV network switchgear</t>
  </si>
  <si>
    <t>Primary</t>
  </si>
  <si>
    <t>Distribution</t>
  </si>
  <si>
    <t>T4 - Volume Summary</t>
  </si>
  <si>
    <t>Total Asset Register Movement</t>
  </si>
  <si>
    <t>Opening Balance DCPR4</t>
  </si>
  <si>
    <t>Units distributed at EHV+</t>
  </si>
  <si>
    <t>104. Estimated line loss adjustment factors relative to LV</t>
  </si>
  <si>
    <t>LV services</t>
  </si>
  <si>
    <t>Assets Installed</t>
  </si>
  <si>
    <t>Closing Balance</t>
  </si>
  <si>
    <t>132kV total</t>
  </si>
  <si>
    <t>Expenditure on DSM to avoid customer spec investment</t>
  </si>
  <si>
    <t>Total inc. expenditure on DSM to avoid customer spec investment</t>
  </si>
  <si>
    <t>Closing DCPR asset Balance (units)</t>
  </si>
  <si>
    <t>Units (GWh) flowing through each level, loss-adjusted to LV</t>
  </si>
  <si>
    <t>Losses</t>
  </si>
  <si>
    <t>Incremental increase in units distributed attributable to new connections</t>
  </si>
  <si>
    <t>MWh</t>
  </si>
  <si>
    <t>Total increase in units distributed due to new connections</t>
  </si>
  <si>
    <t>132kV UG Cable (Oil)</t>
  </si>
  <si>
    <t>132kV UG Cable (Non Pressurised)</t>
  </si>
  <si>
    <t>Costs extracted from RRP Tables</t>
  </si>
  <si>
    <t>Sum of allocated and "unallocted" costs</t>
  </si>
  <si>
    <t>MEAV Calculation = Replacement unit cost*FBPQ closing asset balance</t>
  </si>
  <si>
    <t>Unit cost used in MEAV calculation (£)</t>
  </si>
  <si>
    <t>Customer contributions (directs) for connections at EHV</t>
  </si>
  <si>
    <t>Total Non-load related expenditure (direct costs)</t>
  </si>
  <si>
    <t>Non-operational property</t>
  </si>
  <si>
    <t>Total OHL expenditure (£m)</t>
  </si>
  <si>
    <t>EHV - Pole line</t>
  </si>
  <si>
    <t>EHV - Tower line</t>
  </si>
  <si>
    <t>Fittings only</t>
  </si>
  <si>
    <t>Reconductoring</t>
  </si>
  <si>
    <t>Tower Refurbishment</t>
  </si>
  <si>
    <t>EHV Total</t>
  </si>
  <si>
    <t>132kV - Pole Line</t>
  </si>
  <si>
    <t>132kV - Tower line</t>
  </si>
  <si>
    <t>No. of switchboards</t>
  </si>
  <si>
    <t>Vehicles</t>
  </si>
  <si>
    <t>OK</t>
  </si>
  <si>
    <t>Use of System Bad Debts</t>
  </si>
  <si>
    <t>previously allowed</t>
  </si>
  <si>
    <t>Costs incurred (excluding VAT)</t>
  </si>
  <si>
    <t>Receipts/(recoveries)</t>
  </si>
  <si>
    <t>Total Use of System Bad Debts</t>
  </si>
  <si>
    <t>Non-QoS Faults</t>
  </si>
  <si>
    <t>(£m)</t>
  </si>
  <si>
    <t>Fault level reinforcement:</t>
  </si>
  <si>
    <t xml:space="preserve">LV </t>
  </si>
  <si>
    <t xml:space="preserve">EHV </t>
  </si>
  <si>
    <t xml:space="preserve">132kV </t>
  </si>
  <si>
    <t>Total expenditure</t>
  </si>
  <si>
    <t>LR4 - General reinforcement</t>
  </si>
  <si>
    <t>General reinforcement expenditure</t>
  </si>
  <si>
    <t>General reinforcement:</t>
  </si>
  <si>
    <t>Each</t>
  </si>
  <si>
    <t>Overhead lines - Support</t>
  </si>
  <si>
    <t>LV Support</t>
  </si>
  <si>
    <t>Fault costs allocated to Opex and Capex</t>
  </si>
  <si>
    <t>Fault opex</t>
  </si>
  <si>
    <t>Fault capex</t>
  </si>
  <si>
    <t>Total Fault Costs</t>
  </si>
  <si>
    <t>Expenditure avoided due to DG</t>
  </si>
  <si>
    <t>Expenditure avoided due to DSM</t>
  </si>
  <si>
    <t>Load Related New Connections &amp; Reinforcement</t>
  </si>
  <si>
    <t>General reinforcement projects</t>
  </si>
  <si>
    <t>Scheme details</t>
  </si>
  <si>
    <t>Scheme description</t>
  </si>
  <si>
    <t>Named scheme</t>
  </si>
  <si>
    <t>LV Board (WM)</t>
  </si>
  <si>
    <t>LV UGB</t>
  </si>
  <si>
    <t>Relevant distributed generation (less contributions)</t>
  </si>
  <si>
    <t>Disallowed Related Party Margins</t>
  </si>
  <si>
    <t>Statutory Depreciation</t>
  </si>
  <si>
    <t>Network Rates</t>
  </si>
  <si>
    <t>Forecast year in which substation demand will reach substation firm capacity</t>
  </si>
  <si>
    <t>MVA of additional firm capacity to be installed</t>
  </si>
  <si>
    <t>Total cost of project</t>
  </si>
  <si>
    <t>Total cost of project in DPCR5 period</t>
  </si>
  <si>
    <t>6.6/11 kV Support</t>
  </si>
  <si>
    <t>20 kV Support</t>
  </si>
  <si>
    <t>Underground cables (kms)</t>
  </si>
  <si>
    <t>6.6/11kV UG Cable</t>
  </si>
  <si>
    <t>20kV UG Cable</t>
  </si>
  <si>
    <t>Step 2.b. Divide cost by units flowing - effectively adjust the cost because of electricity lost as it flows thorugh the network meaning that there is more cost in the lower tiers</t>
  </si>
  <si>
    <t>LV Main (UG Consac)</t>
  </si>
  <si>
    <t>Metering</t>
  </si>
  <si>
    <t>Excluded services &amp; de minimis</t>
  </si>
  <si>
    <t>Total DPCR4</t>
  </si>
  <si>
    <t>Basis of allocation</t>
  </si>
  <si>
    <t>% used</t>
  </si>
  <si>
    <t>Operating costs</t>
  </si>
  <si>
    <t>Overall Opex split</t>
  </si>
  <si>
    <t>REVENUE</t>
  </si>
  <si>
    <t>6.6/11 kV RMU</t>
  </si>
  <si>
    <t>6.6/11 kV Switchgear - Other (PM)</t>
  </si>
  <si>
    <t>Property Mgt</t>
  </si>
  <si>
    <t>Vehicles &amp; Transport</t>
  </si>
  <si>
    <t>Non Relevant Distributed Generation</t>
  </si>
  <si>
    <t>132kV System</t>
  </si>
  <si>
    <t>Total Direct Costs excluding Reallocations</t>
  </si>
  <si>
    <t xml:space="preserve">Direct Cost Reallocation </t>
  </si>
  <si>
    <t>Total Costs including Reallocations</t>
  </si>
  <si>
    <t>Customer Contributions (-ve)</t>
  </si>
  <si>
    <t>Total Costs less Capital Contributions</t>
  </si>
  <si>
    <t>Non-operational assets (-ve)</t>
  </si>
  <si>
    <t>Step 4.a. calculate proportion of cost classified as direct costs</t>
  </si>
  <si>
    <t>Max of zero or total from each catergory</t>
  </si>
  <si>
    <t>% direct+other</t>
  </si>
  <si>
    <t>HV System</t>
  </si>
  <si>
    <t>EHV System</t>
  </si>
  <si>
    <t>Connections provided at EHV</t>
  </si>
  <si>
    <t>Connections provided at 132kV</t>
  </si>
  <si>
    <t>General Reinforcement:</t>
  </si>
  <si>
    <t>LV System</t>
  </si>
  <si>
    <t>Estimated number demand connections/disconnections at EHV</t>
  </si>
  <si>
    <t>Disconnections</t>
  </si>
  <si>
    <t xml:space="preserve">          Non-load related replacement (Condition based)</t>
  </si>
  <si>
    <t>Non-fault Related</t>
  </si>
  <si>
    <t>Estimated number demand connections/disconnections at 132kV</t>
  </si>
  <si>
    <t>Total number of demand connections</t>
  </si>
  <si>
    <t>132 kV/EHV RTU (GM)</t>
  </si>
  <si>
    <t>Secondary substation</t>
  </si>
  <si>
    <t>Total number of demand disconnections</t>
  </si>
  <si>
    <t>Customer specific demand investment</t>
  </si>
  <si>
    <t>Main Forecast Business Plan DPCR5</t>
  </si>
  <si>
    <t xml:space="preserve"> </t>
  </si>
  <si>
    <t>NL1 - Condition based expenditure</t>
  </si>
  <si>
    <t xml:space="preserve">Assets removed </t>
  </si>
  <si>
    <t>New connections &amp; customer specific reinforcement:</t>
  </si>
  <si>
    <t>Sole use</t>
  </si>
  <si>
    <t>Shared</t>
  </si>
  <si>
    <t>LV total</t>
  </si>
  <si>
    <t>HV total</t>
  </si>
  <si>
    <t>EHV total</t>
  </si>
  <si>
    <t xml:space="preserve">Transformers </t>
  </si>
  <si>
    <t>Substation</t>
  </si>
  <si>
    <t>Submarine Cables</t>
  </si>
  <si>
    <t>Total Non-load replacement</t>
  </si>
  <si>
    <t>Total Net Non-load replacement</t>
  </si>
  <si>
    <t>Non-load related (other)</t>
  </si>
  <si>
    <t>Quality of Service</t>
  </si>
  <si>
    <t>Safety</t>
  </si>
  <si>
    <t>Closing asset balannce from FBPQ V4</t>
  </si>
  <si>
    <t>DNO reported Unit Cost (£)</t>
  </si>
  <si>
    <t>Customer contributions (directs) for connections at HV</t>
  </si>
  <si>
    <t>Underground cables</t>
  </si>
  <si>
    <t>Submarine cables</t>
  </si>
  <si>
    <t>Total non-load replacement (£m)</t>
  </si>
  <si>
    <t>Sum of allocated and "unallocted" costs expressed per unit throughput (p/kWh)</t>
  </si>
  <si>
    <t>Operating costs = sum of allocated and unallocated multplied by 1 minus capitalised proprtion</t>
  </si>
  <si>
    <t>Base revenue</t>
  </si>
  <si>
    <t>Scottish Electricity Settlements run-off (Scottish DNOs only)</t>
  </si>
  <si>
    <t>Unit cost used in MEAV calculation*Closing DCPR asset Balance (units)</t>
  </si>
  <si>
    <t>Proactive condition based replacement (non fault)</t>
  </si>
  <si>
    <t>Total Net Non-load related (other non-fault)</t>
  </si>
  <si>
    <t>Inspections &amp; Maintenance, Tree Cutting and Fault Costs</t>
  </si>
  <si>
    <t>Inspections &amp; Maintenance</t>
  </si>
  <si>
    <t>Fault Costs</t>
  </si>
  <si>
    <t>Cash typicals</t>
  </si>
  <si>
    <t>Atypicals</t>
  </si>
  <si>
    <t>Inspection and Maintenance</t>
  </si>
  <si>
    <t xml:space="preserve">Inspections </t>
  </si>
  <si>
    <t>Cost</t>
  </si>
  <si>
    <t>Depn.</t>
  </si>
  <si>
    <t>Net Book Value</t>
  </si>
  <si>
    <t>Net Sales Proceeds</t>
  </si>
  <si>
    <t>Asset Owner</t>
  </si>
  <si>
    <t>Asset Type</t>
  </si>
  <si>
    <t>£m</t>
  </si>
  <si>
    <t>Fault Level Reinforcement</t>
  </si>
  <si>
    <t>Regulatory Reporting Pack (RRP)</t>
  </si>
  <si>
    <t xml:space="preserve">System Maximum Demand </t>
  </si>
  <si>
    <t>System Maximum Demand (Weather corrected)</t>
  </si>
  <si>
    <t xml:space="preserve">Maintenance </t>
  </si>
  <si>
    <t xml:space="preserve">Total </t>
  </si>
  <si>
    <t>LV Services</t>
  </si>
  <si>
    <t>Underground Mains - Consac</t>
  </si>
  <si>
    <t>Underground Mains - Non Consac</t>
  </si>
  <si>
    <t xml:space="preserve">HV </t>
  </si>
  <si>
    <t>Substation electricity</t>
  </si>
  <si>
    <t>Diesel generation costs (permanent emergency back up on islands)</t>
  </si>
  <si>
    <t>Third party cable damage - recoveries</t>
  </si>
  <si>
    <t>Dismantlement</t>
  </si>
  <si>
    <t>2007/08</t>
  </si>
  <si>
    <t>Network Data</t>
  </si>
  <si>
    <t>Units</t>
  </si>
  <si>
    <t>2005/06</t>
  </si>
  <si>
    <t>2006/07</t>
  </si>
  <si>
    <t>2008/09</t>
  </si>
  <si>
    <t>2009/10</t>
  </si>
  <si>
    <t>allocated in proportion to repex</t>
  </si>
  <si>
    <t>HV/LV sub/trans costs</t>
  </si>
  <si>
    <t>LV/HV/(LV/HV+HV) %</t>
  </si>
  <si>
    <t>Total Tree Cutting</t>
  </si>
  <si>
    <t>Lane rentals analysis: including logged up costs (see below):</t>
  </si>
  <si>
    <t>LV Fuses (PM)</t>
  </si>
  <si>
    <t>LV Fuses (TM)</t>
  </si>
  <si>
    <t>HV network</t>
  </si>
  <si>
    <t>6.6/11 kV OHL (Open)</t>
  </si>
  <si>
    <t>6.6/11 kV OHL (Covered)</t>
  </si>
  <si>
    <t>20 kV OHL (Open)</t>
  </si>
  <si>
    <t>Total CMLs (Excluding EE)</t>
  </si>
  <si>
    <t>CMLs</t>
  </si>
  <si>
    <t>Condition based</t>
  </si>
  <si>
    <t>Units Distributed</t>
  </si>
  <si>
    <t>GWh</t>
  </si>
  <si>
    <t>LOSSES</t>
  </si>
  <si>
    <t xml:space="preserve">Units of distribution losses </t>
  </si>
  <si>
    <t>(GWh)</t>
  </si>
  <si>
    <t xml:space="preserve">Losses </t>
  </si>
  <si>
    <t>(%)</t>
  </si>
  <si>
    <t>SYSTEM PARAMETERS</t>
  </si>
  <si>
    <t>IFI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</si>
  <si>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</si>
  <si>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</si>
  <si>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</si>
  <si>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</si>
  <si>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</si>
  <si>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</si>
  <si>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(Description)</t>
  </si>
  <si>
    <t>LR1 - Demand</t>
  </si>
  <si>
    <t>Demand Totals</t>
  </si>
  <si>
    <t>Submarine cables (kms)</t>
  </si>
  <si>
    <t>HV Sub Cable</t>
  </si>
  <si>
    <t>6.6/11 kV CB (PM)</t>
  </si>
  <si>
    <t>Indirect activities - From RRP 2.2 Detailed Cost Matrix</t>
  </si>
  <si>
    <t>6.6/11 kV Switchgear - Other (GM)</t>
  </si>
  <si>
    <t>HR &amp; Non-operational Training</t>
  </si>
  <si>
    <t>Brief description of work involved, substations affected, assets installed/replaced etc.</t>
  </si>
  <si>
    <t>(Unique name)</t>
  </si>
  <si>
    <t>(kV)</t>
  </si>
  <si>
    <t>(a-j)</t>
  </si>
  <si>
    <t>(Year)</t>
  </si>
  <si>
    <t>(MVA)</t>
  </si>
  <si>
    <t>6.6/11 kV CB (GM)</t>
  </si>
  <si>
    <t>6.6/11 kV Switch (PM)</t>
  </si>
  <si>
    <t>6.6/11 kV Switch (GM)</t>
  </si>
  <si>
    <t xml:space="preserve">          Load Related New Connections &amp; Reinforcement</t>
  </si>
  <si>
    <t>Direct Costs only</t>
  </si>
  <si>
    <t>New Connections (carried out by DNO/RP)</t>
  </si>
  <si>
    <t>New Connections (carried out by Third Parties)</t>
  </si>
  <si>
    <t>Customer Specific Reinforcement - Chargeable</t>
  </si>
  <si>
    <t>EHV ground mounted</t>
  </si>
  <si>
    <t>EHV pole mounted</t>
  </si>
  <si>
    <t>HV ground mounted</t>
  </si>
  <si>
    <t>HV pole mounted</t>
  </si>
  <si>
    <t>Regulatory Reporting Pack</t>
  </si>
  <si>
    <t>MISCELLANEOUS</t>
  </si>
  <si>
    <t>Costs outside scope of DPCR4 allowances</t>
  </si>
  <si>
    <t>Road Occupation &amp; Permit Scheme Costs included within Lane Rentals, previously agreed in writing with Ofgem to be treated as logged up costs:</t>
  </si>
  <si>
    <t>Salary sacrifice schemes (including flexible benefit schemes)</t>
  </si>
  <si>
    <t>Direct capex</t>
  </si>
  <si>
    <t>Direct opex, faults &amp; Non-op capex</t>
  </si>
  <si>
    <t>Indirect costs</t>
  </si>
  <si>
    <t>All Other non-distrib'n activities</t>
  </si>
  <si>
    <t>Salary element sacrificed by employee(-ve)</t>
  </si>
  <si>
    <t>Fault Related</t>
  </si>
  <si>
    <t xml:space="preserve">Total
</t>
  </si>
  <si>
    <t>Metered LV Services</t>
  </si>
  <si>
    <t>Overhead</t>
  </si>
  <si>
    <t>Underground</t>
  </si>
  <si>
    <t>Un-metered LV Services</t>
  </si>
  <si>
    <t>Road occupation costs</t>
  </si>
  <si>
    <t>Permit scheme costs</t>
  </si>
  <si>
    <t>Congestion charges</t>
  </si>
  <si>
    <t>Total per Table 2.2</t>
  </si>
  <si>
    <t>Uncertain Costs (included in table 2.2 costs)</t>
  </si>
  <si>
    <t>Total condition based replacement</t>
  </si>
  <si>
    <t>Asset Categories</t>
  </si>
  <si>
    <t>DPCR 4</t>
  </si>
  <si>
    <t>DPCR 5</t>
  </si>
  <si>
    <t>DPCR4</t>
  </si>
  <si>
    <t>DPCR5</t>
  </si>
  <si>
    <t>2010/11</t>
  </si>
  <si>
    <t>Underground Cables</t>
  </si>
  <si>
    <t>Submarine</t>
  </si>
  <si>
    <t>Customer Data</t>
  </si>
  <si>
    <t>Environment</t>
  </si>
  <si>
    <t>Visual Amenity</t>
  </si>
  <si>
    <t>ESQCR</t>
  </si>
  <si>
    <t>Resilience</t>
  </si>
  <si>
    <t>Operational IT &amp; Telecoms - BT 21CN</t>
  </si>
  <si>
    <t>Actuals</t>
  </si>
  <si>
    <t>Forecast</t>
  </si>
  <si>
    <t>% change</t>
  </si>
  <si>
    <t>Overhead mains</t>
  </si>
  <si>
    <t>Underground mains</t>
  </si>
  <si>
    <t>Take these data from the February 2005 Ofgem document (link below), not the November 2004 final proposals.</t>
  </si>
  <si>
    <t>Ex-gratia compensation payments</t>
  </si>
  <si>
    <t>Bad debt expense (net of recoveries)</t>
  </si>
  <si>
    <t>IT Non-operational Capital Expenditure</t>
  </si>
  <si>
    <t>Total Non-load related (other non-fault)</t>
  </si>
  <si>
    <t>2011/12</t>
  </si>
  <si>
    <t>2012/13</t>
  </si>
  <si>
    <t>2013/14</t>
  </si>
  <si>
    <t>2014/15</t>
  </si>
  <si>
    <t>Customer contributions - customer specific demand investment</t>
  </si>
  <si>
    <t>Customer contributions (directs) for connections at LV</t>
  </si>
  <si>
    <t xml:space="preserve">Shared </t>
  </si>
  <si>
    <t>Operational IT &amp; Telecoms - other</t>
  </si>
  <si>
    <t>Non - rechargeable diversions</t>
  </si>
  <si>
    <t>Transmission exit charges</t>
  </si>
  <si>
    <t>Wheeled units imported</t>
  </si>
  <si>
    <t>Network rates</t>
  </si>
  <si>
    <t>Costs inside scope of DPCR4 allowances</t>
  </si>
  <si>
    <t>Present value of opening / closing RAV</t>
  </si>
  <si>
    <t>Operating costs (excluding pensions)</t>
  </si>
  <si>
    <t>Capital expenditure (excluding pensions)</t>
  </si>
  <si>
    <t>Pensions allowance</t>
  </si>
  <si>
    <t>Capex incentive scheme</t>
  </si>
  <si>
    <t>Sliding scale additional income</t>
  </si>
  <si>
    <t>ANALYSIS OF ASSET DISPOSALS</t>
  </si>
  <si>
    <t>Non-activity based costs (excluded from Table 2.2)(enter as positive)</t>
  </si>
  <si>
    <t>£'m</t>
  </si>
  <si>
    <t>Pass through Costs</t>
  </si>
  <si>
    <t>Customer Specific Reinforcement - Non Chargeable</t>
  </si>
  <si>
    <t>General Reinforcement</t>
  </si>
  <si>
    <t>DNO LV Main usage</t>
  </si>
  <si>
    <t>Final DPCR4 settlement</t>
  </si>
  <si>
    <t>February 05 ofgem document http://www.ofgem.gov.uk/Markets/RetMkts/Metrng/Metering/Documents1/9745-5405.pdf</t>
  </si>
  <si>
    <t>FBPQ T4</t>
  </si>
  <si>
    <t>FBPQ LR1</t>
  </si>
  <si>
    <t>Voltage</t>
  </si>
  <si>
    <t xml:space="preserve">Limiting 
Factor
</t>
  </si>
  <si>
    <t>For Future years</t>
  </si>
  <si>
    <t xml:space="preserve">Customer Numbers </t>
  </si>
  <si>
    <t>Millions</t>
  </si>
  <si>
    <t>Total CIs (Excluding EE)</t>
  </si>
  <si>
    <t>CIs</t>
  </si>
  <si>
    <t>DNO's regulatory returns (Summary of revenue)</t>
  </si>
  <si>
    <t>Remove incentive revenue and pension deficit?</t>
  </si>
  <si>
    <t>Modelling decision</t>
  </si>
  <si>
    <t>Enter "y" if data is to be removed. "n" if not being removed.</t>
  </si>
  <si>
    <t>February 09 FBPQ</t>
  </si>
  <si>
    <t>Distribution Circuit Length - Overhead (km)</t>
  </si>
  <si>
    <t>Circuit km</t>
  </si>
  <si>
    <t>Distribution Circuit Length - Underground (km)</t>
  </si>
  <si>
    <t>Distribution Circuit Length - Total (km)</t>
  </si>
  <si>
    <t xml:space="preserve">Number of Substations and Switching Stations </t>
  </si>
  <si>
    <t>No. Subs</t>
  </si>
  <si>
    <t>Miscellaneous costs (included in table 2.2 costs)</t>
  </si>
  <si>
    <t>Additional employer pension contributions (+ve)</t>
  </si>
  <si>
    <t>LV Control centre costs (where it remotely controls LV network)</t>
  </si>
  <si>
    <t>km</t>
  </si>
  <si>
    <t>Total Undergrounding in National Parks / AONB</t>
  </si>
  <si>
    <t>Opex incentive / Other adjustments</t>
  </si>
  <si>
    <t>Quality award</t>
  </si>
  <si>
    <t>Present value of allowed items</t>
  </si>
  <si>
    <t>TOTAL PRESENT VALUE OVER 5 YEARS</t>
  </si>
  <si>
    <t>Excluded service revenue</t>
  </si>
  <si>
    <t>Present value of total revenue</t>
  </si>
  <si>
    <t>Gross direct costs</t>
  </si>
  <si>
    <t>Customer contributions directs</t>
  </si>
  <si>
    <t>Costs previously agreed with Ofgem in writing for additional security</t>
  </si>
  <si>
    <t>Customer contributions indirects</t>
  </si>
  <si>
    <t>Finance &amp; Regulation</t>
  </si>
  <si>
    <t>Expenditure replacing Pressure Assisted cables</t>
  </si>
  <si>
    <t>Undergrounding in National Parks / AONB - direct costs</t>
  </si>
  <si>
    <t>EHV/132kV</t>
  </si>
  <si>
    <t>Undergrounding in National Parks / AONB - indirect costs</t>
  </si>
  <si>
    <t>NEW AND REPLACEMENT ASSETS (EXCL. FAULTS)</t>
  </si>
  <si>
    <t>5 Year movement in closing RAV</t>
  </si>
  <si>
    <t>2005/6</t>
  </si>
  <si>
    <t>2006/7</t>
  </si>
  <si>
    <t>2007/8</t>
  </si>
  <si>
    <t>2008/9</t>
  </si>
  <si>
    <t>2004/05</t>
  </si>
  <si>
    <t>(£M)</t>
  </si>
  <si>
    <t>Input</t>
  </si>
  <si>
    <t>Internal DNO analysis (or industry-wide data?)</t>
  </si>
  <si>
    <t>Comment</t>
  </si>
  <si>
    <t>ATW tariffs</t>
  </si>
  <si>
    <t>Current DUoS Statement</t>
  </si>
  <si>
    <t>This data is only used for comparison purposes</t>
  </si>
  <si>
    <t>DNO's forecast</t>
  </si>
  <si>
    <t>Summary of revenue</t>
  </si>
  <si>
    <t>(Profit)/loss on sale of fixed assets and scrap[(-ve)/+ve]</t>
  </si>
  <si>
    <t>Statutory Depreciation on operational assets</t>
  </si>
  <si>
    <t>Pension deficit repair payments</t>
  </si>
  <si>
    <t>Total Non-Activity Based Costs</t>
  </si>
  <si>
    <t>OTHER ITEMS adjusting RAV</t>
  </si>
  <si>
    <t>Proceeds of sale of assets and scrap (not recorded on Table 2.2)</t>
  </si>
  <si>
    <t>Cash proceeds received on sale of:</t>
  </si>
  <si>
    <t>Operational assets (-ve)</t>
  </si>
  <si>
    <t>Sales of scrap (-ve)</t>
  </si>
  <si>
    <t>Non-load non-fault new &amp; replacement assets</t>
  </si>
  <si>
    <t>Faults</t>
  </si>
  <si>
    <t>Inspectns &amp; Maint. (exc. Tree Cutting)</t>
  </si>
  <si>
    <t>Tree Cutting</t>
  </si>
  <si>
    <t>Fines and penalties</t>
  </si>
  <si>
    <t>FBPQ LR4</t>
  </si>
  <si>
    <t>FBPQ LR6</t>
  </si>
  <si>
    <t>FBPQ NL1</t>
  </si>
  <si>
    <t>FBPQ C2</t>
  </si>
  <si>
    <t>RRP 1.3</t>
  </si>
  <si>
    <t>RRP 2.3</t>
  </si>
  <si>
    <t>RRP 2.4</t>
  </si>
  <si>
    <t>RRP 2.6</t>
  </si>
  <si>
    <t>RRP 5.1</t>
  </si>
  <si>
    <t>Regulatory Reporting Pack 07/08</t>
  </si>
  <si>
    <t>Index</t>
  </si>
  <si>
    <t>Select and copy as values from cell F12 in both worksheets</t>
  </si>
  <si>
    <t>PB power numbers, if available</t>
  </si>
  <si>
    <t>PB Power Unit values</t>
  </si>
  <si>
    <t>PB Power analysis (if available)</t>
  </si>
  <si>
    <t>This gets used if no unit cost was submitted with FBPQ.</t>
  </si>
  <si>
    <t>y</t>
  </si>
  <si>
    <t>DATA</t>
  </si>
  <si>
    <t>Sum of MEAV of asset classified in voltage tier</t>
  </si>
  <si>
    <t>Customer Call Centre</t>
  </si>
  <si>
    <t>Stores</t>
  </si>
  <si>
    <t>Overhead Mains</t>
  </si>
  <si>
    <t>Underground Mains</t>
  </si>
  <si>
    <t>Switchgear (incl other plant &amp; equipment)</t>
  </si>
  <si>
    <t>Overhead lines</t>
  </si>
  <si>
    <t>http://www.ofgem.gov.uk/Markets/RetMkts/Metrng/Metering/Documents1/9745-5405.pdf</t>
  </si>
  <si>
    <t>Ofgem licence fee</t>
  </si>
  <si>
    <t>Shetland Balancing Costs (SHEPD only)</t>
  </si>
  <si>
    <t>QUALITY OF SERVICE</t>
  </si>
  <si>
    <t>Historical data</t>
  </si>
  <si>
    <t>Telecoms Non-operational Capital Expenditures</t>
  </si>
  <si>
    <t>Total Non-operational New Assets &amp; Replacement</t>
  </si>
  <si>
    <t>Guaranteed standard of performance compensation payments</t>
  </si>
  <si>
    <t>NETWORK ACTIVITY INDICATORS</t>
  </si>
  <si>
    <t>CONNECTIONS</t>
  </si>
  <si>
    <t>Number of new connections</t>
  </si>
  <si>
    <t>EHV (Includes 132kV)</t>
  </si>
  <si>
    <t>No. Connections</t>
  </si>
  <si>
    <t>HV</t>
  </si>
  <si>
    <t>LV</t>
  </si>
  <si>
    <t>DG</t>
  </si>
  <si>
    <t xml:space="preserve">Total Connected Distributed Generation </t>
  </si>
  <si>
    <t>132kV</t>
  </si>
  <si>
    <t>MW</t>
  </si>
  <si>
    <t>EHV</t>
  </si>
  <si>
    <t>Total</t>
  </si>
  <si>
    <t>DEMANDS</t>
  </si>
  <si>
    <t>ALLOWED ITEMS</t>
  </si>
  <si>
    <t>-</t>
  </si>
  <si>
    <t>0</t>
  </si>
  <si>
    <t>33/11</t>
  </si>
  <si>
    <t>a</t>
  </si>
  <si>
    <t>Change 33/11 transformer units to 12/24 and replace 11kV switchboard</t>
  </si>
  <si>
    <t>c</t>
  </si>
  <si>
    <t>Establish new 33kV circuit into Tregaron site.</t>
  </si>
  <si>
    <t>11kV load transfer to Waterton 132/11</t>
  </si>
  <si>
    <t>d</t>
  </si>
  <si>
    <t>Establish 3rd 33kV circuit (cable) to s/s and additional 12/24 transformer &amp; 11kV Swbd Change</t>
  </si>
  <si>
    <t>b</t>
  </si>
  <si>
    <t>Establish 33kV switchboard and 2nd transformer unit.</t>
  </si>
  <si>
    <t>Install 2nd transformer, and 33kV circuit (o/h)</t>
  </si>
  <si>
    <t>a/b</t>
  </si>
  <si>
    <t>Increase 11kV Interconnection between  3 Tx Group</t>
  </si>
  <si>
    <t>Overlay 33kV circuits and install 19/38 MVA 33/11 units</t>
  </si>
  <si>
    <t>Establish new 33kV circuit to Gas Yard, to remove load from  Gas Yard/Nelson 33kV ring.</t>
  </si>
  <si>
    <t>j</t>
  </si>
  <si>
    <t>Establish 66kV bar with bus-section breaker</t>
  </si>
  <si>
    <t>Reconductor front end of 66kV circuits Abergavenny to Crickhowell or apply higher operating Temp/increasing height</t>
  </si>
  <si>
    <t>Increase height to allow higher Op Temp, installation of 11kV Cap Bank Brawdy</t>
  </si>
  <si>
    <t>Install addition 33/11 Tx capacity 11kV interconnection between sites</t>
  </si>
  <si>
    <t>Additional Grid Tx at Rhos or 33 kV circuit uprating</t>
  </si>
  <si>
    <t>f</t>
  </si>
  <si>
    <t>New 33kV tranformer circuit and 33/11kV transformer</t>
  </si>
  <si>
    <t>Transformer change to 19/38 MVA units &amp; 33/11kV Swbd Change</t>
  </si>
  <si>
    <t>Typically smaller schemes. Unidentified larger scheme(s) 2014/15.</t>
  </si>
  <si>
    <t>132/11</t>
  </si>
  <si>
    <t>Establish 132/11kV susbstaion at Abergavenny</t>
  </si>
  <si>
    <t>Establish 132/11kV substation near Pentrebach to deload existing 33kV ccts</t>
  </si>
  <si>
    <t>132/33</t>
  </si>
  <si>
    <t>Establish a second 132/33 transformer</t>
  </si>
  <si>
    <t>Establish second 132/33kv unit and break parallel.</t>
  </si>
  <si>
    <t>Establish new 132/11kV site</t>
  </si>
  <si>
    <t>Unidentified</t>
  </si>
  <si>
    <t>Redundant operational assets</t>
  </si>
  <si>
    <t>Sales of scrap etc</t>
  </si>
  <si>
    <t>LV Service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</si>
</sst>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%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_);[Red]\(#,##0\);\-"/>
    <numFmt numFmtId="185" formatCode="#,##0.000;[Red]\-#,##0.000;"/>
    <numFmt numFmtId="186" formatCode="#,##0.000;[Red]\-#,##0.000;\-"/>
    <numFmt numFmtId="187" formatCode="_(* #,##0_);_(* \(#,##0\);_(* &quot;-&quot;??_);_(@_)"/>
    <numFmt numFmtId="188" formatCode="#,##0.00;[Red]\-#,##0.00;\-"/>
    <numFmt numFmtId="189" formatCode="#,##0.0;[Red]\-#,##0.0;\-"/>
    <numFmt numFmtId="190" formatCode="#,##0;[Red]\-#,##0;\-"/>
    <numFmt numFmtId="191" formatCode="_-* #,##0.000_-;\-* #,##0.000_-;_-* &quot;-&quot;??_-;_-@_-"/>
    <numFmt numFmtId="192" formatCode="0.000000000"/>
    <numFmt numFmtId="193" formatCode="0.0000000000"/>
    <numFmt numFmtId="194" formatCode="0.00000000"/>
    <numFmt numFmtId="195" formatCode="0.0000000"/>
    <numFmt numFmtId="196" formatCode="#,##0.0_);[Red]\(#,##0.0\);\-"/>
    <numFmt numFmtId="197" formatCode="0.000%"/>
    <numFmt numFmtId="198" formatCode="0.0000%"/>
    <numFmt numFmtId="199" formatCode="0.00000%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00000000000%"/>
    <numFmt numFmtId="205" formatCode="_-* #,##0_-;\-* #,##0_-;_-* &quot;-&quot;??_-;_-@_-"/>
    <numFmt numFmtId="206" formatCode="_-&quot;£&quot;* #,##0_-;\-&quot;£&quot;* #,##0_-;_-&quot;£&quot;* &quot;-&quot;??_-;_-@_-"/>
    <numFmt numFmtId="207" formatCode="#,##0.00_ ;\-#,##0.00\ "/>
    <numFmt numFmtId="208" formatCode="&quot;£&quot;#,##0.00"/>
    <numFmt numFmtId="209" formatCode="&quot;£&quot;#,##0"/>
    <numFmt numFmtId="210" formatCode="_-* #,##0.0000_-;\-* #,##0.0000_-;_-* &quot;-&quot;??_-;_-@_-"/>
    <numFmt numFmtId="211" formatCode="#,##0.000000_ ;\-#,##0.000000\ "/>
    <numFmt numFmtId="212" formatCode="0;\(0\)"/>
    <numFmt numFmtId="213" formatCode="0;[Red]\(0\);\-"/>
    <numFmt numFmtId="214" formatCode="_(* #,##0.0_);_(* \(#,##0.0\);_(* &quot;-&quot;?_);_(@_)"/>
    <numFmt numFmtId="215" formatCode="0.000;\-0.000;"/>
    <numFmt numFmtId="216" formatCode="_(??0.0%_);[Red]\(??0.0%\);"/>
  </numFmts>
  <fonts count="75">
    <font>
      <sz val="10"/>
      <name val="Arial"/>
      <family val="0"/>
    </font>
    <font>
      <sz val="8"/>
      <name val="Verdana"/>
      <family val="0"/>
    </font>
    <font>
      <b/>
      <sz val="10"/>
      <name val="Arial"/>
      <family val="0"/>
    </font>
    <font>
      <sz val="10"/>
      <color indexed="8"/>
      <name val="Verdana"/>
      <family val="2"/>
    </font>
    <font>
      <i/>
      <sz val="10"/>
      <name val="Arial"/>
      <family val="2"/>
    </font>
    <font>
      <sz val="11"/>
      <name val="CG Omega"/>
      <family val="2"/>
    </font>
    <font>
      <sz val="11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11"/>
      <name val="CG Omega"/>
      <family val="2"/>
    </font>
    <font>
      <sz val="10"/>
      <name val="CG Omega"/>
      <family val="2"/>
    </font>
    <font>
      <b/>
      <sz val="10"/>
      <name val="CG Omega"/>
      <family val="2"/>
    </font>
    <font>
      <sz val="10"/>
      <color indexed="10"/>
      <name val="Arial"/>
      <family val="0"/>
    </font>
    <font>
      <b/>
      <sz val="12"/>
      <color indexed="40"/>
      <name val="Arial"/>
      <family val="0"/>
    </font>
    <font>
      <u val="single"/>
      <sz val="11"/>
      <color indexed="40"/>
      <name val="Arial"/>
      <family val="0"/>
    </font>
    <font>
      <sz val="11"/>
      <color indexed="12"/>
      <name val="CG Omega"/>
      <family val="2"/>
    </font>
    <font>
      <sz val="10"/>
      <color indexed="20"/>
      <name val="Verdana"/>
      <family val="2"/>
    </font>
    <font>
      <u val="single"/>
      <sz val="10"/>
      <color indexed="20"/>
      <name val="Arial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u val="single"/>
      <sz val="10"/>
      <color indexed="12"/>
      <name val="Arial"/>
      <family val="0"/>
    </font>
    <font>
      <b/>
      <sz val="10"/>
      <color indexed="8"/>
      <name val="Verdana"/>
      <family val="2"/>
    </font>
    <font>
      <sz val="10"/>
      <color indexed="10"/>
      <name val="CG Omega"/>
      <family val="2"/>
    </font>
    <font>
      <i/>
      <sz val="10"/>
      <color indexed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sz val="10"/>
      <color indexed="12"/>
      <name val="CG Omega"/>
      <family val="2"/>
    </font>
    <font>
      <sz val="10"/>
      <color indexed="12"/>
      <name val="Arial"/>
      <family val="2"/>
    </font>
    <font>
      <sz val="8"/>
      <name val="CG Omega"/>
      <family val="0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Verdana"/>
      <family val="2"/>
    </font>
    <font>
      <b/>
      <sz val="14"/>
      <name val="CG Omega"/>
      <family val="2"/>
    </font>
    <font>
      <b/>
      <sz val="11"/>
      <color indexed="10"/>
      <name val="CG Omega"/>
      <family val="2"/>
    </font>
    <font>
      <sz val="11"/>
      <color indexed="8"/>
      <name val="CG Omega"/>
      <family val="2"/>
    </font>
    <font>
      <b/>
      <sz val="11"/>
      <color indexed="8"/>
      <name val="CG Omega"/>
      <family val="2"/>
    </font>
    <font>
      <sz val="9"/>
      <name val="Arial"/>
      <family val="0"/>
    </font>
    <font>
      <sz val="9"/>
      <name val="CG Omega"/>
      <family val="2"/>
    </font>
    <font>
      <b/>
      <sz val="9"/>
      <name val="CG Omega"/>
      <family val="2"/>
    </font>
    <font>
      <sz val="10"/>
      <color indexed="8"/>
      <name val="CG Omega"/>
      <family val="2"/>
    </font>
    <font>
      <b/>
      <sz val="16"/>
      <name val="CG Omega"/>
      <family val="2"/>
    </font>
    <font>
      <b/>
      <sz val="12"/>
      <name val="CG Omega"/>
      <family val="2"/>
    </font>
    <font>
      <sz val="11"/>
      <color indexed="10"/>
      <name val="CG Omega"/>
      <family val="2"/>
    </font>
    <font>
      <b/>
      <sz val="11"/>
      <color indexed="12"/>
      <name val="CG Omega"/>
      <family val="2"/>
    </font>
    <font>
      <sz val="10"/>
      <color indexed="30"/>
      <name val="CG Omega"/>
      <family val="2"/>
    </font>
    <font>
      <b/>
      <sz val="10"/>
      <name val="Verdana"/>
      <family val="0"/>
    </font>
    <font>
      <sz val="10"/>
      <name val="Verdana"/>
      <family val="0"/>
    </font>
    <font>
      <sz val="11"/>
      <color indexed="20"/>
      <name val="Arial"/>
      <family val="0"/>
    </font>
    <font>
      <b/>
      <sz val="12"/>
      <color indexed="10"/>
      <name val="Arial"/>
      <family val="0"/>
    </font>
    <font>
      <sz val="10"/>
      <color indexed="9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sz val="10"/>
      <color indexed="10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lightGrid">
        <fgColor indexed="46"/>
      </patternFill>
    </fill>
    <fill>
      <patternFill patternType="gray125">
        <bgColor indexed="22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/>
      <right style="medium"/>
      <top style="thin"/>
      <bottom style="double"/>
    </border>
    <border>
      <left style="medium"/>
      <right style="medium"/>
      <top style="thin"/>
      <bottom style="double"/>
    </border>
    <border>
      <left/>
      <right style="thin"/>
      <top/>
      <bottom style="medium"/>
    </border>
    <border>
      <left style="medium"/>
      <right/>
      <top/>
      <bottom style="double"/>
    </border>
    <border>
      <left style="medium"/>
      <right style="medium"/>
      <top/>
      <bottom style="double"/>
    </border>
    <border>
      <left style="dashed">
        <color indexed="20"/>
      </left>
      <right>
        <color indexed="63"/>
      </right>
      <top style="dashed">
        <color indexed="20"/>
      </top>
      <bottom style="dashed">
        <color indexed="20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0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15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17" fillId="23" borderId="0" applyNumberFormat="0" applyBorder="0" applyAlignment="0" applyProtection="0"/>
    <xf numFmtId="0" fontId="65" fillId="24" borderId="1" applyNumberFormat="0" applyAlignment="0" applyProtection="0"/>
    <xf numFmtId="0" fontId="6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9" fillId="27" borderId="1" applyNumberFormat="0" applyAlignment="0" applyProtection="0"/>
    <xf numFmtId="0" fontId="70" fillId="0" borderId="6" applyNumberFormat="0" applyFill="0" applyAlignment="0" applyProtection="0"/>
    <xf numFmtId="0" fontId="71" fillId="28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9" borderId="7" applyNumberFormat="0" applyFont="0" applyAlignment="0" applyProtection="0"/>
    <xf numFmtId="0" fontId="72" fillId="2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60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0" fillId="24" borderId="0" xfId="0" applyFill="1" applyAlignment="1">
      <alignment/>
    </xf>
    <xf numFmtId="0" fontId="0" fillId="3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24" borderId="0" xfId="0" applyFont="1" applyFill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9" fontId="0" fillId="0" borderId="11" xfId="71" applyFont="1" applyBorder="1" applyAlignment="1">
      <alignment/>
    </xf>
    <xf numFmtId="9" fontId="0" fillId="0" borderId="10" xfId="71" applyFont="1" applyBorder="1" applyAlignment="1">
      <alignment/>
    </xf>
    <xf numFmtId="9" fontId="0" fillId="0" borderId="12" xfId="71" applyFont="1" applyBorder="1" applyAlignment="1">
      <alignment/>
    </xf>
    <xf numFmtId="0" fontId="2" fillId="8" borderId="13" xfId="0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 vertical="top" wrapText="1"/>
    </xf>
    <xf numFmtId="10" fontId="0" fillId="0" borderId="11" xfId="0" applyNumberFormat="1" applyBorder="1" applyAlignment="1">
      <alignment vertical="top"/>
    </xf>
    <xf numFmtId="10" fontId="0" fillId="0" borderId="11" xfId="71" applyNumberFormat="1" applyFont="1" applyBorder="1" applyAlignment="1">
      <alignment vertical="top"/>
    </xf>
    <xf numFmtId="0" fontId="0" fillId="0" borderId="12" xfId="0" applyFont="1" applyBorder="1" applyAlignment="1">
      <alignment vertical="top" wrapText="1"/>
    </xf>
    <xf numFmtId="9" fontId="0" fillId="0" borderId="11" xfId="71" applyFont="1" applyBorder="1" applyAlignment="1">
      <alignment vertical="top"/>
    </xf>
    <xf numFmtId="10" fontId="0" fillId="0" borderId="12" xfId="71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8" borderId="18" xfId="0" applyFill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0" fillId="8" borderId="13" xfId="0" applyFill="1" applyBorder="1" applyAlignment="1">
      <alignment vertical="center" wrapText="1"/>
    </xf>
    <xf numFmtId="0" fontId="0" fillId="8" borderId="14" xfId="0" applyFill="1" applyBorder="1" applyAlignment="1">
      <alignment vertical="center" wrapText="1"/>
    </xf>
    <xf numFmtId="0" fontId="0" fillId="8" borderId="13" xfId="0" applyFont="1" applyFill="1" applyBorder="1" applyAlignment="1">
      <alignment vertical="center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" fontId="8" fillId="0" borderId="0" xfId="65" applyNumberFormat="1" applyFont="1" applyFill="1" applyBorder="1" applyAlignment="1" applyProtection="1">
      <alignment wrapText="1"/>
      <protection/>
    </xf>
    <xf numFmtId="0" fontId="8" fillId="0" borderId="0" xfId="65" applyFont="1" applyFill="1" applyBorder="1" applyAlignment="1" applyProtection="1">
      <alignment/>
      <protection/>
    </xf>
    <xf numFmtId="0" fontId="7" fillId="0" borderId="0" xfId="65" applyFont="1" applyFill="1" applyBorder="1" applyProtection="1">
      <alignment/>
      <protection/>
    </xf>
    <xf numFmtId="0" fontId="8" fillId="0" borderId="0" xfId="65" applyFont="1" applyFill="1" applyBorder="1" applyProtection="1">
      <alignment/>
      <protection/>
    </xf>
    <xf numFmtId="0" fontId="0" fillId="0" borderId="0" xfId="0" applyFill="1" applyBorder="1" applyAlignment="1">
      <alignment/>
    </xf>
    <xf numFmtId="1" fontId="7" fillId="0" borderId="0" xfId="65" applyNumberFormat="1" applyFont="1" applyFill="1" applyBorder="1" applyAlignment="1" applyProtection="1">
      <alignment wrapText="1"/>
      <protection/>
    </xf>
    <xf numFmtId="1" fontId="8" fillId="0" borderId="0" xfId="65" applyNumberFormat="1" applyFont="1" applyFill="1" applyBorder="1" applyAlignment="1" applyProtection="1">
      <alignment horizontal="center" wrapText="1"/>
      <protection/>
    </xf>
    <xf numFmtId="1" fontId="8" fillId="0" borderId="0" xfId="65" applyNumberFormat="1" applyFont="1" applyFill="1" applyBorder="1" applyAlignment="1" applyProtection="1">
      <alignment horizontal="centerContinuous" wrapText="1"/>
      <protection/>
    </xf>
    <xf numFmtId="1" fontId="8" fillId="0" borderId="0" xfId="65" applyNumberFormat="1" applyFont="1" applyFill="1" applyBorder="1" applyAlignment="1" applyProtection="1">
      <alignment horizontal="center" vertical="center" wrapText="1"/>
      <protection/>
    </xf>
    <xf numFmtId="1" fontId="7" fillId="0" borderId="0" xfId="65" applyNumberFormat="1" applyFont="1" applyFill="1" applyBorder="1" applyProtection="1">
      <alignment/>
      <protection/>
    </xf>
    <xf numFmtId="1" fontId="7" fillId="0" borderId="0" xfId="65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183" fontId="9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65" applyFont="1" applyFill="1" applyBorder="1" applyAlignment="1" applyProtection="1">
      <alignment horizontal="center"/>
      <protection/>
    </xf>
    <xf numFmtId="183" fontId="7" fillId="0" borderId="0" xfId="0" applyNumberFormat="1" applyFont="1" applyFill="1" applyBorder="1" applyAlignment="1" applyProtection="1">
      <alignment horizontal="center" vertical="center"/>
      <protection/>
    </xf>
    <xf numFmtId="183" fontId="7" fillId="0" borderId="0" xfId="66" applyNumberFormat="1" applyFont="1" applyFill="1" applyBorder="1" applyAlignment="1" applyProtection="1">
      <alignment horizontal="center" vertical="center"/>
      <protection/>
    </xf>
    <xf numFmtId="1" fontId="8" fillId="0" borderId="0" xfId="65" applyNumberFormat="1" applyFont="1" applyFill="1" applyBorder="1" applyProtection="1">
      <alignment/>
      <protection/>
    </xf>
    <xf numFmtId="184" fontId="9" fillId="0" borderId="0" xfId="65" applyNumberFormat="1" applyFont="1" applyFill="1" applyBorder="1" applyProtection="1">
      <alignment/>
      <protection/>
    </xf>
    <xf numFmtId="0" fontId="7" fillId="0" borderId="0" xfId="62" applyFont="1" applyFill="1" applyBorder="1" applyAlignment="1" applyProtection="1">
      <alignment/>
      <protection/>
    </xf>
    <xf numFmtId="1" fontId="7" fillId="0" borderId="0" xfId="66" applyNumberFormat="1" applyFont="1" applyFill="1" applyBorder="1" applyAlignment="1" applyProtection="1">
      <alignment horizontal="center" vertical="center"/>
      <protection/>
    </xf>
    <xf numFmtId="2" fontId="7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vertical="center" wrapText="1"/>
    </xf>
    <xf numFmtId="2" fontId="0" fillId="0" borderId="0" xfId="0" applyNumberFormat="1" applyBorder="1" applyAlignment="1">
      <alignment/>
    </xf>
    <xf numFmtId="9" fontId="0" fillId="0" borderId="0" xfId="71" applyFont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9" fontId="0" fillId="0" borderId="13" xfId="7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10" fontId="0" fillId="0" borderId="15" xfId="0" applyNumberFormat="1" applyBorder="1" applyAlignment="1">
      <alignment vertical="top"/>
    </xf>
    <xf numFmtId="9" fontId="0" fillId="0" borderId="16" xfId="71" applyFont="1" applyBorder="1" applyAlignment="1">
      <alignment vertical="top"/>
    </xf>
    <xf numFmtId="10" fontId="0" fillId="0" borderId="16" xfId="71" applyNumberFormat="1" applyFont="1" applyBorder="1" applyAlignment="1">
      <alignment vertical="top"/>
    </xf>
    <xf numFmtId="10" fontId="0" fillId="0" borderId="17" xfId="71" applyNumberFormat="1" applyFont="1" applyBorder="1" applyAlignment="1">
      <alignment vertical="top"/>
    </xf>
    <xf numFmtId="0" fontId="2" fillId="8" borderId="19" xfId="0" applyFont="1" applyFill="1" applyBorder="1" applyAlignment="1">
      <alignment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/>
    </xf>
    <xf numFmtId="0" fontId="0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9" fontId="0" fillId="0" borderId="11" xfId="71" applyFont="1" applyBorder="1" applyAlignment="1">
      <alignment vertical="top" wrapText="1"/>
    </xf>
    <xf numFmtId="9" fontId="0" fillId="0" borderId="12" xfId="71" applyFont="1" applyBorder="1" applyAlignment="1">
      <alignment vertical="top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178" fontId="11" fillId="0" borderId="16" xfId="71" applyNumberFormat="1" applyFont="1" applyBorder="1" applyAlignment="1" applyProtection="1">
      <alignment horizontal="center" vertical="center" wrapText="1"/>
      <protection/>
    </xf>
    <xf numFmtId="183" fontId="11" fillId="0" borderId="0" xfId="68" applyNumberFormat="1" applyFont="1" applyBorder="1" applyAlignment="1" applyProtection="1">
      <alignment horizontal="center" vertical="center" wrapText="1"/>
      <protection/>
    </xf>
    <xf numFmtId="183" fontId="11" fillId="0" borderId="20" xfId="68" applyNumberFormat="1" applyFont="1" applyBorder="1" applyAlignment="1" applyProtection="1">
      <alignment horizontal="center" vertical="center" wrapText="1"/>
      <protection/>
    </xf>
    <xf numFmtId="9" fontId="0" fillId="0" borderId="0" xfId="71" applyFont="1" applyBorder="1" applyAlignment="1">
      <alignment/>
    </xf>
    <xf numFmtId="183" fontId="0" fillId="0" borderId="16" xfId="0" applyNumberFormat="1" applyBorder="1" applyAlignment="1">
      <alignment/>
    </xf>
    <xf numFmtId="183" fontId="0" fillId="0" borderId="0" xfId="0" applyNumberFormat="1" applyBorder="1" applyAlignment="1">
      <alignment/>
    </xf>
    <xf numFmtId="182" fontId="0" fillId="0" borderId="16" xfId="0" applyNumberFormat="1" applyBorder="1" applyAlignment="1">
      <alignment/>
    </xf>
    <xf numFmtId="182" fontId="0" fillId="0" borderId="0" xfId="0" applyNumberFormat="1" applyBorder="1" applyAlignment="1">
      <alignment/>
    </xf>
    <xf numFmtId="0" fontId="11" fillId="31" borderId="25" xfId="68" applyFont="1" applyFill="1" applyBorder="1" applyAlignment="1">
      <alignment horizontal="left" vertical="center" wrapText="1"/>
      <protection/>
    </xf>
    <xf numFmtId="178" fontId="11" fillId="0" borderId="16" xfId="71" applyNumberFormat="1" applyFont="1" applyFill="1" applyBorder="1" applyAlignment="1" applyProtection="1">
      <alignment horizontal="center" vertical="center" wrapText="1"/>
      <protection/>
    </xf>
    <xf numFmtId="183" fontId="11" fillId="0" borderId="0" xfId="68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18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11" fillId="32" borderId="25" xfId="68" applyFont="1" applyFill="1" applyBorder="1" applyAlignment="1">
      <alignment horizontal="left" vertical="center" wrapText="1"/>
      <protection/>
    </xf>
    <xf numFmtId="0" fontId="11" fillId="0" borderId="11" xfId="68" applyFont="1" applyBorder="1" applyAlignment="1">
      <alignment horizontal="left" vertical="center" wrapText="1"/>
      <protection/>
    </xf>
    <xf numFmtId="178" fontId="11" fillId="0" borderId="16" xfId="71" applyNumberFormat="1" applyFont="1" applyBorder="1" applyAlignment="1">
      <alignment horizontal="center" vertical="center" wrapText="1"/>
    </xf>
    <xf numFmtId="0" fontId="11" fillId="0" borderId="10" xfId="68" applyFont="1" applyBorder="1" applyAlignment="1">
      <alignment horizontal="left" vertical="center" wrapText="1"/>
      <protection/>
    </xf>
    <xf numFmtId="0" fontId="11" fillId="0" borderId="12" xfId="68" applyFont="1" applyBorder="1" applyAlignment="1">
      <alignment horizontal="left" vertical="center" wrapText="1"/>
      <protection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83" fontId="24" fillId="0" borderId="0" xfId="68" applyNumberFormat="1" applyFont="1" applyFill="1" applyBorder="1" applyAlignment="1" applyProtection="1">
      <alignment horizontal="left" vertical="center" wrapText="1"/>
      <protection/>
    </xf>
    <xf numFmtId="178" fontId="24" fillId="0" borderId="0" xfId="71" applyNumberFormat="1" applyFont="1" applyFill="1" applyBorder="1" applyAlignment="1" applyProtection="1">
      <alignment horizontal="center" vertical="center" wrapText="1"/>
      <protection/>
    </xf>
    <xf numFmtId="183" fontId="24" fillId="0" borderId="0" xfId="68" applyNumberFormat="1" applyFont="1" applyFill="1" applyBorder="1" applyAlignment="1" applyProtection="1">
      <alignment horizontal="center" vertical="center" wrapText="1"/>
      <protection/>
    </xf>
    <xf numFmtId="183" fontId="13" fillId="0" borderId="0" xfId="0" applyNumberFormat="1" applyFont="1" applyFill="1" applyBorder="1" applyAlignment="1">
      <alignment/>
    </xf>
    <xf numFmtId="9" fontId="13" fillId="0" borderId="0" xfId="71" applyFont="1" applyFill="1" applyBorder="1" applyAlignment="1">
      <alignment/>
    </xf>
    <xf numFmtId="182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2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11" fillId="0" borderId="15" xfId="68" applyFont="1" applyBorder="1" applyAlignment="1">
      <alignment horizontal="center" vertical="center" wrapText="1"/>
      <protection/>
    </xf>
    <xf numFmtId="0" fontId="11" fillId="0" borderId="16" xfId="68" applyFont="1" applyBorder="1" applyAlignment="1">
      <alignment horizontal="center" vertical="center" wrapText="1"/>
      <protection/>
    </xf>
    <xf numFmtId="183" fontId="11" fillId="0" borderId="10" xfId="68" applyNumberFormat="1" applyFont="1" applyBorder="1" applyAlignment="1" applyProtection="1">
      <alignment horizontal="left" vertical="center" wrapText="1"/>
      <protection/>
    </xf>
    <xf numFmtId="183" fontId="11" fillId="0" borderId="11" xfId="68" applyNumberFormat="1" applyFont="1" applyBorder="1" applyAlignment="1" applyProtection="1">
      <alignment horizontal="left" vertical="center" wrapText="1"/>
      <protection/>
    </xf>
    <xf numFmtId="183" fontId="11" fillId="0" borderId="11" xfId="68" applyNumberFormat="1" applyFont="1" applyFill="1" applyBorder="1" applyAlignment="1" applyProtection="1">
      <alignment horizontal="left" vertical="center" wrapText="1"/>
      <protection/>
    </xf>
    <xf numFmtId="0" fontId="12" fillId="0" borderId="13" xfId="68" applyFont="1" applyBorder="1" applyAlignment="1">
      <alignment horizontal="left" vertical="center" wrapText="1"/>
      <protection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183" fontId="4" fillId="0" borderId="0" xfId="0" applyNumberFormat="1" applyFont="1" applyFill="1" applyBorder="1" applyAlignment="1">
      <alignment/>
    </xf>
    <xf numFmtId="183" fontId="4" fillId="0" borderId="0" xfId="0" applyNumberFormat="1" applyFont="1" applyBorder="1" applyAlignment="1">
      <alignment/>
    </xf>
    <xf numFmtId="0" fontId="25" fillId="0" borderId="0" xfId="0" applyFont="1" applyFill="1" applyBorder="1" applyAlignment="1">
      <alignment/>
    </xf>
    <xf numFmtId="183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183" fontId="11" fillId="0" borderId="11" xfId="68" applyNumberFormat="1" applyFont="1" applyBorder="1" applyAlignment="1" applyProtection="1">
      <alignment horizontal="center" vertical="center" wrapText="1"/>
      <protection/>
    </xf>
    <xf numFmtId="183" fontId="11" fillId="0" borderId="10" xfId="68" applyNumberFormat="1" applyFont="1" applyBorder="1" applyAlignment="1" applyProtection="1">
      <alignment horizontal="center" vertical="center" wrapText="1"/>
      <protection/>
    </xf>
    <xf numFmtId="183" fontId="11" fillId="0" borderId="11" xfId="68" applyNumberFormat="1" applyFont="1" applyFill="1" applyBorder="1" applyAlignment="1" applyProtection="1">
      <alignment horizontal="center" vertical="center" wrapText="1"/>
      <protection/>
    </xf>
    <xf numFmtId="183" fontId="11" fillId="0" borderId="10" xfId="68" applyNumberFormat="1" applyFont="1" applyBorder="1" applyAlignment="1">
      <alignment horizontal="center" vertical="center" wrapText="1"/>
      <protection/>
    </xf>
    <xf numFmtId="183" fontId="11" fillId="0" borderId="11" xfId="68" applyNumberFormat="1" applyFont="1" applyBorder="1" applyAlignment="1">
      <alignment horizontal="center" vertical="center" wrapText="1"/>
      <protection/>
    </xf>
    <xf numFmtId="183" fontId="11" fillId="0" borderId="12" xfId="68" applyNumberFormat="1" applyFont="1" applyBorder="1" applyAlignment="1">
      <alignment horizontal="center" vertical="center" wrapText="1"/>
      <protection/>
    </xf>
    <xf numFmtId="183" fontId="12" fillId="0" borderId="13" xfId="68" applyNumberFormat="1" applyFont="1" applyBorder="1" applyAlignment="1">
      <alignment horizontal="center" vertical="center" wrapText="1"/>
      <protection/>
    </xf>
    <xf numFmtId="183" fontId="12" fillId="0" borderId="10" xfId="68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 vertical="top" wrapText="1"/>
    </xf>
    <xf numFmtId="0" fontId="4" fillId="0" borderId="12" xfId="0" applyFont="1" applyBorder="1" applyAlignment="1">
      <alignment vertical="top"/>
    </xf>
    <xf numFmtId="183" fontId="11" fillId="0" borderId="0" xfId="68" applyNumberFormat="1" applyFont="1" applyBorder="1" applyAlignment="1">
      <alignment horizontal="center" vertical="center" wrapText="1"/>
      <protection/>
    </xf>
    <xf numFmtId="183" fontId="11" fillId="0" borderId="12" xfId="68" applyNumberFormat="1" applyFont="1" applyBorder="1" applyAlignment="1" applyProtection="1">
      <alignment horizontal="center" vertical="center" wrapText="1"/>
      <protection/>
    </xf>
    <xf numFmtId="183" fontId="0" fillId="0" borderId="27" xfId="0" applyNumberFormat="1" applyBorder="1" applyAlignment="1">
      <alignment horizontal="center" vertical="center"/>
    </xf>
    <xf numFmtId="0" fontId="0" fillId="0" borderId="18" xfId="0" applyBorder="1" applyAlignment="1">
      <alignment/>
    </xf>
    <xf numFmtId="9" fontId="11" fillId="0" borderId="11" xfId="71" applyFont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183" fontId="0" fillId="0" borderId="10" xfId="0" applyNumberFormat="1" applyBorder="1" applyAlignment="1">
      <alignment/>
    </xf>
    <xf numFmtId="183" fontId="0" fillId="0" borderId="11" xfId="0" applyNumberFormat="1" applyBorder="1" applyAlignment="1">
      <alignment/>
    </xf>
    <xf numFmtId="183" fontId="0" fillId="0" borderId="12" xfId="0" applyNumberFormat="1" applyBorder="1" applyAlignment="1">
      <alignment/>
    </xf>
    <xf numFmtId="183" fontId="11" fillId="0" borderId="12" xfId="68" applyNumberFormat="1" applyFont="1" applyFill="1" applyBorder="1" applyAlignment="1" applyProtection="1">
      <alignment horizontal="center" vertical="center" wrapText="1"/>
      <protection/>
    </xf>
    <xf numFmtId="183" fontId="0" fillId="0" borderId="15" xfId="0" applyNumberFormat="1" applyBorder="1" applyAlignment="1">
      <alignment/>
    </xf>
    <xf numFmtId="183" fontId="0" fillId="0" borderId="17" xfId="0" applyNumberFormat="1" applyBorder="1" applyAlignment="1">
      <alignment/>
    </xf>
    <xf numFmtId="0" fontId="12" fillId="0" borderId="0" xfId="68" applyFont="1" applyBorder="1" applyAlignment="1">
      <alignment horizontal="left" vertical="center" wrapText="1"/>
      <protection/>
    </xf>
    <xf numFmtId="183" fontId="12" fillId="0" borderId="0" xfId="68" applyNumberFormat="1" applyFont="1" applyBorder="1" applyAlignment="1">
      <alignment horizontal="center" vertical="center" wrapText="1"/>
      <protection/>
    </xf>
    <xf numFmtId="9" fontId="2" fillId="0" borderId="13" xfId="71" applyFont="1" applyBorder="1" applyAlignment="1">
      <alignment/>
    </xf>
    <xf numFmtId="9" fontId="2" fillId="0" borderId="10" xfId="71" applyFont="1" applyBorder="1" applyAlignment="1">
      <alignment/>
    </xf>
    <xf numFmtId="9" fontId="0" fillId="0" borderId="24" xfId="71" applyFont="1" applyBorder="1" applyAlignment="1">
      <alignment/>
    </xf>
    <xf numFmtId="183" fontId="0" fillId="0" borderId="24" xfId="0" applyNumberFormat="1" applyBorder="1" applyAlignment="1">
      <alignment/>
    </xf>
    <xf numFmtId="183" fontId="0" fillId="0" borderId="0" xfId="0" applyNumberFormat="1" applyBorder="1" applyAlignment="1">
      <alignment horizontal="center" vertical="center"/>
    </xf>
    <xf numFmtId="0" fontId="2" fillId="0" borderId="13" xfId="0" applyFont="1" applyBorder="1" applyAlignment="1">
      <alignment/>
    </xf>
    <xf numFmtId="183" fontId="2" fillId="0" borderId="13" xfId="0" applyNumberFormat="1" applyFont="1" applyBorder="1" applyAlignment="1">
      <alignment/>
    </xf>
    <xf numFmtId="0" fontId="14" fillId="0" borderId="0" xfId="0" applyFont="1" applyAlignment="1">
      <alignment/>
    </xf>
    <xf numFmtId="185" fontId="2" fillId="33" borderId="0" xfId="0" applyNumberFormat="1" applyFont="1" applyFill="1" applyAlignment="1">
      <alignment vertical="center" wrapText="1"/>
    </xf>
    <xf numFmtId="186" fontId="0" fillId="34" borderId="0" xfId="0" applyNumberFormat="1" applyFill="1" applyAlignment="1" applyProtection="1">
      <alignment/>
      <protection locked="0"/>
    </xf>
    <xf numFmtId="0" fontId="6" fillId="30" borderId="0" xfId="0" applyFont="1" applyFill="1" applyAlignment="1">
      <alignment/>
    </xf>
    <xf numFmtId="0" fontId="15" fillId="30" borderId="0" xfId="0" applyFont="1" applyFill="1" applyAlignment="1">
      <alignment/>
    </xf>
    <xf numFmtId="186" fontId="0" fillId="35" borderId="0" xfId="0" applyNumberFormat="1" applyFill="1" applyAlignment="1">
      <alignment/>
    </xf>
    <xf numFmtId="187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90" fontId="0" fillId="35" borderId="0" xfId="0" applyNumberFormat="1" applyFill="1" applyAlignment="1">
      <alignment/>
    </xf>
    <xf numFmtId="2" fontId="2" fillId="0" borderId="13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183" fontId="12" fillId="0" borderId="24" xfId="68" applyNumberFormat="1" applyFont="1" applyBorder="1" applyAlignment="1">
      <alignment horizontal="center" vertical="center" wrapText="1"/>
      <protection/>
    </xf>
    <xf numFmtId="183" fontId="12" fillId="0" borderId="15" xfId="68" applyNumberFormat="1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/>
    </xf>
    <xf numFmtId="183" fontId="12" fillId="0" borderId="11" xfId="68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2" fontId="2" fillId="0" borderId="18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9" fontId="0" fillId="0" borderId="0" xfId="71" applyFont="1" applyAlignment="1">
      <alignment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9" fontId="0" fillId="4" borderId="28" xfId="71" applyFont="1" applyFill="1" applyBorder="1" applyAlignment="1">
      <alignment/>
    </xf>
    <xf numFmtId="0" fontId="0" fillId="4" borderId="2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0" xfId="0" applyFont="1" applyFill="1" applyAlignment="1">
      <alignment/>
    </xf>
    <xf numFmtId="0" fontId="0" fillId="36" borderId="0" xfId="0" applyFill="1" applyAlignment="1">
      <alignment/>
    </xf>
    <xf numFmtId="183" fontId="0" fillId="36" borderId="0" xfId="0" applyNumberFormat="1" applyFill="1" applyAlignment="1">
      <alignment/>
    </xf>
    <xf numFmtId="0" fontId="13" fillId="4" borderId="0" xfId="0" applyFont="1" applyFill="1" applyAlignment="1">
      <alignment/>
    </xf>
    <xf numFmtId="183" fontId="13" fillId="4" borderId="0" xfId="0" applyNumberFormat="1" applyFont="1" applyFill="1" applyAlignment="1">
      <alignment/>
    </xf>
    <xf numFmtId="0" fontId="16" fillId="36" borderId="0" xfId="0" applyFont="1" applyFill="1" applyAlignment="1">
      <alignment horizontal="center"/>
    </xf>
    <xf numFmtId="183" fontId="0" fillId="4" borderId="0" xfId="0" applyNumberFormat="1" applyFont="1" applyFill="1" applyAlignment="1">
      <alignment/>
    </xf>
    <xf numFmtId="178" fontId="0" fillId="0" borderId="0" xfId="71" applyNumberFormat="1" applyFont="1" applyAlignment="1">
      <alignment/>
    </xf>
    <xf numFmtId="10" fontId="13" fillId="4" borderId="0" xfId="0" applyNumberFormat="1" applyFont="1" applyFill="1" applyAlignment="1">
      <alignment/>
    </xf>
    <xf numFmtId="1" fontId="0" fillId="4" borderId="0" xfId="0" applyNumberFormat="1" applyFont="1" applyFill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3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10" fontId="0" fillId="4" borderId="0" xfId="0" applyNumberFormat="1" applyFont="1" applyFill="1" applyAlignment="1">
      <alignment/>
    </xf>
    <xf numFmtId="181" fontId="0" fillId="4" borderId="0" xfId="0" applyNumberFormat="1" applyFont="1" applyFill="1" applyAlignment="1">
      <alignment/>
    </xf>
    <xf numFmtId="183" fontId="0" fillId="36" borderId="26" xfId="0" applyNumberFormat="1" applyFill="1" applyBorder="1" applyAlignment="1">
      <alignment/>
    </xf>
    <xf numFmtId="183" fontId="0" fillId="36" borderId="0" xfId="0" applyNumberFormat="1" applyFill="1" applyBorder="1" applyAlignment="1">
      <alignment/>
    </xf>
    <xf numFmtId="43" fontId="0" fillId="36" borderId="26" xfId="0" applyNumberFormat="1" applyFill="1" applyBorder="1" applyAlignment="1">
      <alignment horizontal="center"/>
    </xf>
    <xf numFmtId="43" fontId="0" fillId="36" borderId="0" xfId="0" applyNumberFormat="1" applyFill="1" applyBorder="1" applyAlignment="1">
      <alignment horizontal="center"/>
    </xf>
    <xf numFmtId="43" fontId="0" fillId="36" borderId="31" xfId="0" applyNumberFormat="1" applyFill="1" applyBorder="1" applyAlignment="1">
      <alignment/>
    </xf>
    <xf numFmtId="9" fontId="0" fillId="36" borderId="26" xfId="71" applyFont="1" applyFill="1" applyBorder="1" applyAlignment="1">
      <alignment horizontal="center"/>
    </xf>
    <xf numFmtId="9" fontId="0" fillId="36" borderId="0" xfId="71" applyFont="1" applyFill="1" applyBorder="1" applyAlignment="1">
      <alignment horizontal="center"/>
    </xf>
    <xf numFmtId="9" fontId="0" fillId="36" borderId="31" xfId="71" applyFont="1" applyFill="1" applyBorder="1" applyAlignment="1">
      <alignment/>
    </xf>
    <xf numFmtId="9" fontId="0" fillId="36" borderId="0" xfId="71" applyFont="1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32" xfId="0" applyFill="1" applyBorder="1" applyAlignment="1">
      <alignment/>
    </xf>
    <xf numFmtId="9" fontId="0" fillId="36" borderId="30" xfId="71" applyFont="1" applyFill="1" applyBorder="1" applyAlignment="1">
      <alignment/>
    </xf>
    <xf numFmtId="182" fontId="0" fillId="4" borderId="0" xfId="0" applyNumberFormat="1" applyFont="1" applyFill="1" applyAlignment="1">
      <alignment/>
    </xf>
    <xf numFmtId="183" fontId="0" fillId="0" borderId="0" xfId="0" applyNumberFormat="1" applyFont="1" applyAlignment="1">
      <alignment/>
    </xf>
    <xf numFmtId="0" fontId="0" fillId="36" borderId="15" xfId="0" applyFont="1" applyFill="1" applyBorder="1" applyAlignment="1">
      <alignment/>
    </xf>
    <xf numFmtId="0" fontId="0" fillId="36" borderId="24" xfId="0" applyFill="1" applyBorder="1" applyAlignment="1">
      <alignment horizontal="center" wrapText="1"/>
    </xf>
    <xf numFmtId="0" fontId="0" fillId="36" borderId="15" xfId="0" applyFill="1" applyBorder="1" applyAlignment="1">
      <alignment wrapText="1"/>
    </xf>
    <xf numFmtId="0" fontId="0" fillId="36" borderId="10" xfId="0" applyFill="1" applyBorder="1" applyAlignment="1">
      <alignment horizontal="center"/>
    </xf>
    <xf numFmtId="0" fontId="0" fillId="36" borderId="24" xfId="0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6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20" xfId="0" applyFill="1" applyBorder="1" applyAlignment="1">
      <alignment/>
    </xf>
    <xf numFmtId="1" fontId="0" fillId="36" borderId="0" xfId="0" applyNumberFormat="1" applyFill="1" applyBorder="1" applyAlignment="1">
      <alignment horizontal="center"/>
    </xf>
    <xf numFmtId="0" fontId="0" fillId="31" borderId="26" xfId="0" applyFill="1" applyBorder="1" applyAlignment="1">
      <alignment/>
    </xf>
    <xf numFmtId="183" fontId="0" fillId="36" borderId="16" xfId="0" applyNumberFormat="1" applyFill="1" applyBorder="1" applyAlignment="1">
      <alignment horizontal="center"/>
    </xf>
    <xf numFmtId="183" fontId="0" fillId="36" borderId="0" xfId="0" applyNumberFormat="1" applyFill="1" applyBorder="1" applyAlignment="1">
      <alignment horizontal="center"/>
    </xf>
    <xf numFmtId="183" fontId="0" fillId="36" borderId="20" xfId="0" applyNumberFormat="1" applyFill="1" applyBorder="1" applyAlignment="1">
      <alignment horizontal="center"/>
    </xf>
    <xf numFmtId="191" fontId="0" fillId="36" borderId="16" xfId="42" applyNumberFormat="1" applyFont="1" applyFill="1" applyBorder="1" applyAlignment="1">
      <alignment/>
    </xf>
    <xf numFmtId="191" fontId="0" fillId="36" borderId="0" xfId="42" applyNumberFormat="1" applyFont="1" applyFill="1" applyBorder="1" applyAlignment="1">
      <alignment/>
    </xf>
    <xf numFmtId="0" fontId="0" fillId="36" borderId="16" xfId="0" applyFont="1" applyFill="1" applyBorder="1" applyAlignment="1">
      <alignment/>
    </xf>
    <xf numFmtId="9" fontId="0" fillId="36" borderId="16" xfId="71" applyFont="1" applyFill="1" applyBorder="1" applyAlignment="1">
      <alignment/>
    </xf>
    <xf numFmtId="191" fontId="0" fillId="36" borderId="16" xfId="71" applyNumberFormat="1" applyFont="1" applyFill="1" applyBorder="1" applyAlignment="1">
      <alignment/>
    </xf>
    <xf numFmtId="191" fontId="0" fillId="36" borderId="0" xfId="71" applyNumberFormat="1" applyFont="1" applyFill="1" applyBorder="1" applyAlignment="1">
      <alignment/>
    </xf>
    <xf numFmtId="191" fontId="0" fillId="36" borderId="20" xfId="71" applyNumberFormat="1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12" xfId="0" applyFill="1" applyBorder="1" applyAlignment="1">
      <alignment/>
    </xf>
    <xf numFmtId="9" fontId="0" fillId="36" borderId="17" xfId="71" applyFont="1" applyFill="1" applyBorder="1" applyAlignment="1">
      <alignment horizontal="center"/>
    </xf>
    <xf numFmtId="9" fontId="0" fillId="36" borderId="17" xfId="71" applyFont="1" applyFill="1" applyBorder="1" applyAlignment="1">
      <alignment/>
    </xf>
    <xf numFmtId="0" fontId="0" fillId="0" borderId="13" xfId="0" applyFill="1" applyBorder="1" applyAlignment="1">
      <alignment/>
    </xf>
    <xf numFmtId="183" fontId="0" fillId="0" borderId="0" xfId="0" applyNumberFormat="1" applyAlignment="1">
      <alignment/>
    </xf>
    <xf numFmtId="0" fontId="13" fillId="4" borderId="0" xfId="0" applyFont="1" applyFill="1" applyAlignment="1">
      <alignment/>
    </xf>
    <xf numFmtId="0" fontId="0" fillId="4" borderId="26" xfId="0" applyFont="1" applyFill="1" applyBorder="1" applyAlignment="1">
      <alignment/>
    </xf>
    <xf numFmtId="0" fontId="11" fillId="32" borderId="27" xfId="68" applyFont="1" applyFill="1" applyBorder="1" applyAlignment="1">
      <alignment horizontal="left" vertical="center" wrapText="1"/>
      <protection/>
    </xf>
    <xf numFmtId="183" fontId="11" fillId="0" borderId="12" xfId="68" applyNumberFormat="1" applyFont="1" applyBorder="1" applyAlignment="1" applyProtection="1">
      <alignment horizontal="left" vertical="center" wrapText="1"/>
      <protection/>
    </xf>
    <xf numFmtId="9" fontId="11" fillId="0" borderId="10" xfId="71" applyFont="1" applyBorder="1" applyAlignment="1" applyProtection="1">
      <alignment horizontal="center" vertical="center" wrapText="1"/>
      <protection/>
    </xf>
    <xf numFmtId="9" fontId="11" fillId="0" borderId="12" xfId="71" applyFont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2" fontId="0" fillId="0" borderId="11" xfId="0" applyNumberFormat="1" applyBorder="1" applyAlignment="1">
      <alignment/>
    </xf>
    <xf numFmtId="182" fontId="0" fillId="0" borderId="17" xfId="0" applyNumberFormat="1" applyBorder="1" applyAlignment="1">
      <alignment/>
    </xf>
    <xf numFmtId="182" fontId="0" fillId="0" borderId="12" xfId="0" applyNumberFormat="1" applyBorder="1" applyAlignment="1">
      <alignment/>
    </xf>
    <xf numFmtId="0" fontId="0" fillId="0" borderId="18" xfId="0" applyFont="1" applyBorder="1" applyAlignment="1">
      <alignment vertical="top" wrapText="1"/>
    </xf>
    <xf numFmtId="0" fontId="0" fillId="0" borderId="25" xfId="0" applyBorder="1" applyAlignment="1">
      <alignment horizontal="center" vertical="top" wrapText="1"/>
    </xf>
    <xf numFmtId="178" fontId="11" fillId="0" borderId="17" xfId="71" applyNumberFormat="1" applyFont="1" applyBorder="1" applyAlignment="1" applyProtection="1">
      <alignment horizontal="center" vertical="center" wrapText="1"/>
      <protection/>
    </xf>
    <xf numFmtId="183" fontId="11" fillId="0" borderId="27" xfId="68" applyNumberFormat="1" applyFont="1" applyBorder="1" applyAlignment="1" applyProtection="1">
      <alignment horizontal="center" vertical="center" wrapText="1"/>
      <protection/>
    </xf>
    <xf numFmtId="183" fontId="11" fillId="0" borderId="21" xfId="68" applyNumberFormat="1" applyFont="1" applyBorder="1" applyAlignment="1" applyProtection="1">
      <alignment horizontal="center" vertical="center" wrapText="1"/>
      <protection/>
    </xf>
    <xf numFmtId="0" fontId="2" fillId="8" borderId="10" xfId="0" applyFont="1" applyFill="1" applyBorder="1" applyAlignment="1">
      <alignment vertical="top" wrapText="1"/>
    </xf>
    <xf numFmtId="0" fontId="0" fillId="8" borderId="0" xfId="0" applyFill="1" applyBorder="1" applyAlignment="1">
      <alignment horizontal="center"/>
    </xf>
    <xf numFmtId="9" fontId="0" fillId="0" borderId="19" xfId="71" applyFont="1" applyBorder="1" applyAlignment="1">
      <alignment/>
    </xf>
    <xf numFmtId="9" fontId="0" fillId="0" borderId="20" xfId="71" applyFont="1" applyBorder="1" applyAlignment="1">
      <alignment/>
    </xf>
    <xf numFmtId="9" fontId="0" fillId="0" borderId="21" xfId="71" applyFont="1" applyBorder="1" applyAlignment="1">
      <alignment/>
    </xf>
    <xf numFmtId="0" fontId="0" fillId="8" borderId="0" xfId="0" applyFont="1" applyFill="1" applyBorder="1" applyAlignment="1">
      <alignment horizontal="center"/>
    </xf>
    <xf numFmtId="0" fontId="2" fillId="8" borderId="12" xfId="0" applyFont="1" applyFill="1" applyBorder="1" applyAlignment="1">
      <alignment vertical="top" wrapText="1"/>
    </xf>
    <xf numFmtId="0" fontId="0" fillId="0" borderId="11" xfId="0" applyFont="1" applyBorder="1" applyAlignment="1">
      <alignment horizontal="left" indent="1"/>
    </xf>
    <xf numFmtId="0" fontId="0" fillId="0" borderId="12" xfId="0" applyFont="1" applyBorder="1" applyAlignment="1">
      <alignment horizontal="left" indent="1"/>
    </xf>
    <xf numFmtId="0" fontId="2" fillId="0" borderId="13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0" fillId="8" borderId="20" xfId="0" applyFont="1" applyFill="1" applyBorder="1" applyAlignment="1">
      <alignment horizontal="center"/>
    </xf>
    <xf numFmtId="9" fontId="7" fillId="0" borderId="0" xfId="71" applyFont="1" applyFill="1" applyBorder="1" applyAlignment="1" applyProtection="1">
      <alignment/>
      <protection/>
    </xf>
    <xf numFmtId="0" fontId="0" fillId="0" borderId="0" xfId="0" applyFont="1" applyBorder="1" applyAlignment="1">
      <alignment vertical="top" wrapText="1"/>
    </xf>
    <xf numFmtId="9" fontId="0" fillId="0" borderId="0" xfId="71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9" fontId="0" fillId="0" borderId="0" xfId="71" applyFont="1" applyFill="1" applyBorder="1" applyAlignment="1">
      <alignment/>
    </xf>
    <xf numFmtId="4" fontId="0" fillId="0" borderId="0" xfId="0" applyNumberFormat="1" applyAlignment="1">
      <alignment/>
    </xf>
    <xf numFmtId="199" fontId="0" fillId="0" borderId="0" xfId="71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83" fontId="2" fillId="0" borderId="19" xfId="0" applyNumberFormat="1" applyFont="1" applyFill="1" applyBorder="1" applyAlignment="1">
      <alignment/>
    </xf>
    <xf numFmtId="183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83" fontId="2" fillId="0" borderId="20" xfId="0" applyNumberFormat="1" applyFont="1" applyFill="1" applyBorder="1" applyAlignment="1">
      <alignment/>
    </xf>
    <xf numFmtId="183" fontId="2" fillId="0" borderId="11" xfId="0" applyNumberFormat="1" applyFont="1" applyFill="1" applyBorder="1" applyAlignment="1">
      <alignment/>
    </xf>
    <xf numFmtId="9" fontId="2" fillId="0" borderId="20" xfId="71" applyFont="1" applyFill="1" applyBorder="1" applyAlignment="1">
      <alignment/>
    </xf>
    <xf numFmtId="9" fontId="2" fillId="0" borderId="11" xfId="71" applyFont="1" applyFill="1" applyBorder="1" applyAlignment="1">
      <alignment/>
    </xf>
    <xf numFmtId="0" fontId="2" fillId="0" borderId="12" xfId="0" applyFont="1" applyFill="1" applyBorder="1" applyAlignment="1">
      <alignment/>
    </xf>
    <xf numFmtId="9" fontId="2" fillId="0" borderId="21" xfId="71" applyFont="1" applyFill="1" applyBorder="1" applyAlignment="1">
      <alignment/>
    </xf>
    <xf numFmtId="9" fontId="2" fillId="0" borderId="12" xfId="71" applyFont="1" applyFill="1" applyBorder="1" applyAlignment="1">
      <alignment/>
    </xf>
    <xf numFmtId="183" fontId="11" fillId="0" borderId="24" xfId="68" applyNumberFormat="1" applyFont="1" applyBorder="1" applyAlignment="1" applyProtection="1">
      <alignment horizontal="center" vertical="center" wrapText="1"/>
      <protection/>
    </xf>
    <xf numFmtId="183" fontId="11" fillId="0" borderId="19" xfId="68" applyNumberFormat="1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>
      <alignment vertical="top" wrapText="1"/>
    </xf>
    <xf numFmtId="0" fontId="12" fillId="0" borderId="10" xfId="68" applyFont="1" applyBorder="1" applyAlignment="1">
      <alignment horizontal="left" vertical="center" wrapText="1"/>
      <protection/>
    </xf>
    <xf numFmtId="0" fontId="12" fillId="0" borderId="24" xfId="68" applyFont="1" applyBorder="1" applyAlignment="1">
      <alignment horizontal="left" vertical="center" wrapText="1"/>
      <protection/>
    </xf>
    <xf numFmtId="182" fontId="0" fillId="0" borderId="15" xfId="0" applyNumberFormat="1" applyBorder="1" applyAlignment="1">
      <alignment/>
    </xf>
    <xf numFmtId="182" fontId="0" fillId="0" borderId="10" xfId="0" applyNumberFormat="1" applyBorder="1" applyAlignment="1">
      <alignment/>
    </xf>
    <xf numFmtId="0" fontId="0" fillId="0" borderId="18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178" fontId="11" fillId="0" borderId="15" xfId="71" applyNumberFormat="1" applyFont="1" applyFill="1" applyBorder="1" applyAlignment="1" applyProtection="1">
      <alignment horizontal="center" vertical="center" wrapText="1"/>
      <protection/>
    </xf>
    <xf numFmtId="178" fontId="11" fillId="0" borderId="17" xfId="71" applyNumberFormat="1" applyFont="1" applyFill="1" applyBorder="1" applyAlignment="1" applyProtection="1">
      <alignment horizontal="center" vertical="center" wrapText="1"/>
      <protection/>
    </xf>
    <xf numFmtId="0" fontId="2" fillId="8" borderId="24" xfId="0" applyFont="1" applyFill="1" applyBorder="1" applyAlignment="1">
      <alignment/>
    </xf>
    <xf numFmtId="0" fontId="4" fillId="0" borderId="16" xfId="0" applyFont="1" applyBorder="1" applyAlignment="1">
      <alignment vertical="top" wrapText="1"/>
    </xf>
    <xf numFmtId="0" fontId="2" fillId="30" borderId="16" xfId="0" applyFont="1" applyFill="1" applyBorder="1" applyAlignment="1">
      <alignment/>
    </xf>
    <xf numFmtId="178" fontId="2" fillId="0" borderId="18" xfId="0" applyNumberFormat="1" applyFont="1" applyBorder="1" applyAlignment="1">
      <alignment horizontal="center" vertical="center"/>
    </xf>
    <xf numFmtId="178" fontId="0" fillId="0" borderId="15" xfId="0" applyNumberFormat="1" applyBorder="1" applyAlignment="1">
      <alignment horizontal="center"/>
    </xf>
    <xf numFmtId="178" fontId="0" fillId="0" borderId="24" xfId="0" applyNumberFormat="1" applyBorder="1" applyAlignment="1">
      <alignment horizontal="center"/>
    </xf>
    <xf numFmtId="178" fontId="0" fillId="0" borderId="19" xfId="0" applyNumberFormat="1" applyFont="1" applyBorder="1" applyAlignment="1">
      <alignment horizontal="center"/>
    </xf>
    <xf numFmtId="178" fontId="0" fillId="0" borderId="16" xfId="0" applyNumberForma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78" fontId="0" fillId="0" borderId="20" xfId="0" applyNumberFormat="1" applyFont="1" applyBorder="1" applyAlignment="1">
      <alignment horizontal="center"/>
    </xf>
    <xf numFmtId="178" fontId="0" fillId="0" borderId="17" xfId="0" applyNumberFormat="1" applyBorder="1" applyAlignment="1">
      <alignment horizontal="center"/>
    </xf>
    <xf numFmtId="178" fontId="0" fillId="0" borderId="27" xfId="0" applyNumberFormat="1" applyBorder="1" applyAlignment="1">
      <alignment horizontal="center"/>
    </xf>
    <xf numFmtId="178" fontId="0" fillId="0" borderId="21" xfId="0" applyNumberFormat="1" applyFont="1" applyBorder="1" applyAlignment="1">
      <alignment horizontal="center"/>
    </xf>
    <xf numFmtId="178" fontId="2" fillId="0" borderId="15" xfId="0" applyNumberFormat="1" applyFont="1" applyBorder="1" applyAlignment="1">
      <alignment horizontal="center"/>
    </xf>
    <xf numFmtId="178" fontId="2" fillId="0" borderId="24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/>
    </xf>
    <xf numFmtId="178" fontId="2" fillId="0" borderId="25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9" fontId="2" fillId="32" borderId="13" xfId="71" applyFont="1" applyFill="1" applyBorder="1" applyAlignment="1">
      <alignment/>
    </xf>
    <xf numFmtId="9" fontId="2" fillId="32" borderId="18" xfId="71" applyFont="1" applyFill="1" applyBorder="1" applyAlignment="1">
      <alignment/>
    </xf>
    <xf numFmtId="0" fontId="2" fillId="37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183" fontId="26" fillId="0" borderId="0" xfId="0" applyNumberFormat="1" applyFont="1" applyFill="1" applyAlignment="1">
      <alignment/>
    </xf>
    <xf numFmtId="0" fontId="26" fillId="37" borderId="0" xfId="0" applyFont="1" applyFill="1" applyAlignment="1">
      <alignment/>
    </xf>
    <xf numFmtId="0" fontId="26" fillId="37" borderId="0" xfId="0" applyFont="1" applyFill="1" applyAlignment="1">
      <alignment/>
    </xf>
    <xf numFmtId="183" fontId="26" fillId="37" borderId="0" xfId="0" applyNumberFormat="1" applyFont="1" applyFill="1" applyAlignment="1">
      <alignment/>
    </xf>
    <xf numFmtId="199" fontId="13" fillId="36" borderId="26" xfId="71" applyNumberFormat="1" applyFont="1" applyFill="1" applyBorder="1" applyAlignment="1">
      <alignment horizontal="center"/>
    </xf>
    <xf numFmtId="0" fontId="13" fillId="36" borderId="0" xfId="0" applyFont="1" applyFill="1" applyBorder="1" applyAlignment="1">
      <alignment/>
    </xf>
    <xf numFmtId="9" fontId="13" fillId="36" borderId="31" xfId="71" applyFont="1" applyFill="1" applyBorder="1" applyAlignment="1">
      <alignment/>
    </xf>
    <xf numFmtId="0" fontId="0" fillId="31" borderId="26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4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83" fontId="13" fillId="0" borderId="0" xfId="0" applyNumberFormat="1" applyFont="1" applyFill="1" applyBorder="1" applyAlignment="1">
      <alignment/>
    </xf>
    <xf numFmtId="9" fontId="2" fillId="0" borderId="11" xfId="71" applyNumberFormat="1" applyFont="1" applyFill="1" applyBorder="1" applyAlignment="1">
      <alignment/>
    </xf>
    <xf numFmtId="9" fontId="2" fillId="0" borderId="18" xfId="71" applyFont="1" applyBorder="1" applyAlignment="1">
      <alignment horizontal="center"/>
    </xf>
    <xf numFmtId="9" fontId="2" fillId="0" borderId="25" xfId="71" applyFont="1" applyBorder="1" applyAlignment="1">
      <alignment horizontal="center"/>
    </xf>
    <xf numFmtId="9" fontId="2" fillId="0" borderId="14" xfId="71" applyFont="1" applyBorder="1" applyAlignment="1">
      <alignment horizontal="center"/>
    </xf>
    <xf numFmtId="0" fontId="0" fillId="0" borderId="16" xfId="0" applyFont="1" applyBorder="1" applyAlignment="1">
      <alignment/>
    </xf>
    <xf numFmtId="0" fontId="13" fillId="0" borderId="0" xfId="0" applyFont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13" fillId="0" borderId="0" xfId="0" applyFont="1" applyAlignment="1">
      <alignment/>
    </xf>
    <xf numFmtId="178" fontId="0" fillId="0" borderId="0" xfId="71" applyNumberFormat="1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Fill="1" applyAlignment="1">
      <alignment/>
    </xf>
    <xf numFmtId="0" fontId="22" fillId="0" borderId="0" xfId="54" applyAlignment="1" applyProtection="1">
      <alignment/>
      <protection/>
    </xf>
    <xf numFmtId="0" fontId="22" fillId="0" borderId="0" xfId="54" applyFont="1" applyAlignment="1" applyProtection="1">
      <alignment/>
      <protection/>
    </xf>
    <xf numFmtId="0" fontId="0" fillId="0" borderId="0" xfId="0" applyAlignment="1">
      <alignment wrapText="1"/>
    </xf>
    <xf numFmtId="0" fontId="22" fillId="0" borderId="26" xfId="54" applyBorder="1" applyAlignment="1" applyProtection="1">
      <alignment/>
      <protection/>
    </xf>
    <xf numFmtId="0" fontId="0" fillId="0" borderId="0" xfId="0" applyBorder="1" applyAlignment="1">
      <alignment wrapText="1"/>
    </xf>
    <xf numFmtId="0" fontId="0" fillId="0" borderId="31" xfId="0" applyBorder="1" applyAlignment="1">
      <alignment wrapText="1"/>
    </xf>
    <xf numFmtId="0" fontId="22" fillId="0" borderId="29" xfId="54" applyBorder="1" applyAlignment="1" applyProtection="1">
      <alignment/>
      <protection/>
    </xf>
    <xf numFmtId="0" fontId="0" fillId="0" borderId="30" xfId="0" applyBorder="1" applyAlignment="1">
      <alignment wrapText="1"/>
    </xf>
    <xf numFmtId="0" fontId="0" fillId="0" borderId="32" xfId="0" applyBorder="1" applyAlignment="1">
      <alignment wrapText="1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22" fillId="0" borderId="26" xfId="54" applyBorder="1" applyAlignment="1" applyProtection="1">
      <alignment wrapText="1"/>
      <protection/>
    </xf>
    <xf numFmtId="0" fontId="0" fillId="0" borderId="31" xfId="0" applyFont="1" applyBorder="1" applyAlignment="1">
      <alignment wrapText="1"/>
    </xf>
    <xf numFmtId="0" fontId="0" fillId="0" borderId="0" xfId="61" applyProtection="1">
      <alignment/>
      <protection/>
    </xf>
    <xf numFmtId="183" fontId="0" fillId="37" borderId="36" xfId="61" applyNumberFormat="1" applyFill="1" applyBorder="1" applyAlignment="1" applyProtection="1">
      <alignment horizontal="center" vertical="center"/>
      <protection/>
    </xf>
    <xf numFmtId="183" fontId="0" fillId="37" borderId="13" xfId="61" applyNumberFormat="1" applyFill="1" applyBorder="1" applyAlignment="1" applyProtection="1">
      <alignment horizontal="center" vertical="center"/>
      <protection/>
    </xf>
    <xf numFmtId="183" fontId="0" fillId="37" borderId="37" xfId="61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183" fontId="0" fillId="37" borderId="38" xfId="61" applyNumberFormat="1" applyFill="1" applyBorder="1" applyAlignment="1" applyProtection="1">
      <alignment horizontal="center" vertical="center"/>
      <protection/>
    </xf>
    <xf numFmtId="183" fontId="0" fillId="37" borderId="39" xfId="61" applyNumberFormat="1" applyFill="1" applyBorder="1" applyAlignment="1" applyProtection="1">
      <alignment horizontal="center" vertical="center"/>
      <protection/>
    </xf>
    <xf numFmtId="183" fontId="0" fillId="37" borderId="40" xfId="61" applyNumberFormat="1" applyFill="1" applyBorder="1" applyAlignment="1" applyProtection="1">
      <alignment horizontal="center" vertical="center"/>
      <protection/>
    </xf>
    <xf numFmtId="1" fontId="12" fillId="0" borderId="22" xfId="64" applyNumberFormat="1" applyFont="1" applyBorder="1" applyProtection="1">
      <alignment/>
      <protection/>
    </xf>
    <xf numFmtId="1" fontId="12" fillId="0" borderId="23" xfId="64" applyNumberFormat="1" applyFont="1" applyBorder="1" applyProtection="1">
      <alignment/>
      <protection/>
    </xf>
    <xf numFmtId="1" fontId="12" fillId="0" borderId="41" xfId="64" applyNumberFormat="1" applyFont="1" applyBorder="1" applyProtection="1">
      <alignment/>
      <protection/>
    </xf>
    <xf numFmtId="1" fontId="11" fillId="0" borderId="26" xfId="64" applyNumberFormat="1" applyFont="1" applyBorder="1" applyAlignment="1" applyProtection="1">
      <alignment wrapText="1"/>
      <protection/>
    </xf>
    <xf numFmtId="1" fontId="12" fillId="0" borderId="0" xfId="64" applyNumberFormat="1" applyFont="1" applyBorder="1" applyAlignment="1" applyProtection="1">
      <alignment wrapText="1"/>
      <protection/>
    </xf>
    <xf numFmtId="1" fontId="12" fillId="0" borderId="42" xfId="64" applyNumberFormat="1" applyFont="1" applyBorder="1" applyAlignment="1" applyProtection="1">
      <alignment horizontal="center" wrapText="1"/>
      <protection/>
    </xf>
    <xf numFmtId="1" fontId="12" fillId="0" borderId="41" xfId="64" applyNumberFormat="1" applyFont="1" applyBorder="1" applyAlignment="1" applyProtection="1">
      <alignment horizontal="center" vertical="center" wrapText="1"/>
      <protection/>
    </xf>
    <xf numFmtId="1" fontId="12" fillId="0" borderId="31" xfId="64" applyNumberFormat="1" applyFont="1" applyBorder="1" applyAlignment="1" applyProtection="1">
      <alignment horizontal="center" vertical="center" wrapText="1"/>
      <protection/>
    </xf>
    <xf numFmtId="1" fontId="12" fillId="0" borderId="29" xfId="64" applyNumberFormat="1" applyFont="1" applyBorder="1" applyProtection="1">
      <alignment/>
      <protection/>
    </xf>
    <xf numFmtId="1" fontId="12" fillId="0" borderId="30" xfId="64" applyNumberFormat="1" applyFont="1" applyBorder="1" applyProtection="1">
      <alignment/>
      <protection/>
    </xf>
    <xf numFmtId="0" fontId="2" fillId="0" borderId="43" xfId="61" applyFont="1" applyBorder="1" applyAlignment="1" applyProtection="1">
      <alignment horizontal="center" vertical="center" wrapText="1"/>
      <protection/>
    </xf>
    <xf numFmtId="0" fontId="2" fillId="0" borderId="44" xfId="61" applyFont="1" applyBorder="1" applyAlignment="1" applyProtection="1">
      <alignment horizontal="center" vertical="center" wrapText="1"/>
      <protection/>
    </xf>
    <xf numFmtId="0" fontId="2" fillId="0" borderId="39" xfId="61" applyFont="1" applyBorder="1" applyAlignment="1" applyProtection="1">
      <alignment horizontal="center" vertical="center" wrapText="1"/>
      <protection/>
    </xf>
    <xf numFmtId="0" fontId="2" fillId="0" borderId="38" xfId="61" applyFont="1" applyBorder="1" applyAlignment="1" applyProtection="1">
      <alignment horizontal="center" vertical="center" wrapText="1"/>
      <protection/>
    </xf>
    <xf numFmtId="0" fontId="2" fillId="0" borderId="45" xfId="61" applyFont="1" applyBorder="1" applyAlignment="1" applyProtection="1">
      <alignment horizontal="center" vertical="center" wrapText="1"/>
      <protection/>
    </xf>
    <xf numFmtId="0" fontId="2" fillId="0" borderId="46" xfId="61" applyFont="1" applyBorder="1" applyAlignment="1" applyProtection="1">
      <alignment horizontal="center" vertical="center" wrapText="1"/>
      <protection/>
    </xf>
    <xf numFmtId="0" fontId="2" fillId="0" borderId="40" xfId="61" applyFont="1" applyBorder="1" applyAlignment="1" applyProtection="1">
      <alignment horizontal="center" vertical="center" wrapText="1"/>
      <protection/>
    </xf>
    <xf numFmtId="0" fontId="2" fillId="0" borderId="47" xfId="61" applyFont="1" applyBorder="1" applyAlignment="1" applyProtection="1">
      <alignment horizontal="center" vertical="center" wrapText="1"/>
      <protection/>
    </xf>
    <xf numFmtId="1" fontId="11" fillId="0" borderId="26" xfId="64" applyNumberFormat="1" applyFont="1" applyFill="1" applyBorder="1" applyProtection="1">
      <alignment/>
      <protection/>
    </xf>
    <xf numFmtId="0" fontId="12" fillId="0" borderId="0" xfId="64" applyFont="1" applyBorder="1" applyAlignment="1" applyProtection="1">
      <alignment/>
      <protection/>
    </xf>
    <xf numFmtId="0" fontId="11" fillId="0" borderId="0" xfId="64" applyFont="1" applyBorder="1" applyProtection="1">
      <alignment/>
      <protection/>
    </xf>
    <xf numFmtId="1" fontId="11" fillId="0" borderId="41" xfId="64" applyNumberFormat="1" applyFont="1" applyFill="1" applyBorder="1" applyAlignment="1" applyProtection="1">
      <alignment horizontal="center"/>
      <protection/>
    </xf>
    <xf numFmtId="1" fontId="11" fillId="0" borderId="48" xfId="64" applyNumberFormat="1" applyFont="1" applyFill="1" applyBorder="1" applyAlignment="1" applyProtection="1">
      <alignment horizontal="center"/>
      <protection/>
    </xf>
    <xf numFmtId="1" fontId="11" fillId="0" borderId="49" xfId="64" applyNumberFormat="1" applyFont="1" applyFill="1" applyBorder="1" applyAlignment="1" applyProtection="1">
      <alignment horizontal="center"/>
      <protection/>
    </xf>
    <xf numFmtId="1" fontId="11" fillId="0" borderId="50" xfId="64" applyNumberFormat="1" applyFont="1" applyFill="1" applyBorder="1" applyAlignment="1" applyProtection="1">
      <alignment horizontal="center"/>
      <protection/>
    </xf>
    <xf numFmtId="0" fontId="12" fillId="0" borderId="0" xfId="64" applyFont="1" applyBorder="1" applyProtection="1">
      <alignment/>
      <protection/>
    </xf>
    <xf numFmtId="1" fontId="11" fillId="0" borderId="42" xfId="64" applyNumberFormat="1" applyFont="1" applyFill="1" applyBorder="1" applyAlignment="1" applyProtection="1">
      <alignment horizontal="center"/>
      <protection/>
    </xf>
    <xf numFmtId="1" fontId="11" fillId="0" borderId="51" xfId="64" applyNumberFormat="1" applyFont="1" applyFill="1" applyBorder="1" applyAlignment="1" applyProtection="1">
      <alignment horizontal="center"/>
      <protection/>
    </xf>
    <xf numFmtId="1" fontId="11" fillId="0" borderId="11" xfId="64" applyNumberFormat="1" applyFont="1" applyFill="1" applyBorder="1" applyAlignment="1" applyProtection="1">
      <alignment horizontal="center"/>
      <protection/>
    </xf>
    <xf numFmtId="1" fontId="11" fillId="0" borderId="16" xfId="64" applyNumberFormat="1" applyFont="1" applyFill="1" applyBorder="1" applyAlignment="1" applyProtection="1">
      <alignment horizontal="center"/>
      <protection/>
    </xf>
    <xf numFmtId="183" fontId="11" fillId="0" borderId="42" xfId="64" applyNumberFormat="1" applyFont="1" applyFill="1" applyBorder="1" applyAlignment="1" applyProtection="1">
      <alignment horizontal="center"/>
      <protection/>
    </xf>
    <xf numFmtId="0" fontId="11" fillId="0" borderId="26" xfId="64" applyFont="1" applyBorder="1" applyProtection="1">
      <alignment/>
      <protection/>
    </xf>
    <xf numFmtId="184" fontId="12" fillId="37" borderId="46" xfId="64" applyNumberFormat="1" applyFont="1" applyFill="1" applyBorder="1" applyAlignment="1" applyProtection="1">
      <alignment horizontal="center"/>
      <protection/>
    </xf>
    <xf numFmtId="184" fontId="11" fillId="0" borderId="36" xfId="64" applyNumberFormat="1" applyFont="1" applyFill="1" applyBorder="1" applyAlignment="1" applyProtection="1">
      <alignment horizontal="center"/>
      <protection/>
    </xf>
    <xf numFmtId="184" fontId="11" fillId="0" borderId="13" xfId="64" applyNumberFormat="1" applyFont="1" applyFill="1" applyBorder="1" applyAlignment="1" applyProtection="1">
      <alignment horizontal="center"/>
      <protection/>
    </xf>
    <xf numFmtId="183" fontId="29" fillId="36" borderId="46" xfId="64" applyNumberFormat="1" applyFont="1" applyFill="1" applyBorder="1" applyAlignment="1" applyProtection="1">
      <alignment horizontal="center"/>
      <protection locked="0"/>
    </xf>
    <xf numFmtId="184" fontId="11" fillId="0" borderId="18" xfId="64" applyNumberFormat="1" applyFont="1" applyFill="1" applyBorder="1" applyAlignment="1" applyProtection="1">
      <alignment horizontal="center"/>
      <protection/>
    </xf>
    <xf numFmtId="184" fontId="12" fillId="0" borderId="42" xfId="64" applyNumberFormat="1" applyFont="1" applyFill="1" applyBorder="1" applyAlignment="1" applyProtection="1">
      <alignment horizontal="center"/>
      <protection/>
    </xf>
    <xf numFmtId="184" fontId="11" fillId="0" borderId="51" xfId="64" applyNumberFormat="1" applyFont="1" applyFill="1" applyBorder="1" applyAlignment="1" applyProtection="1">
      <alignment horizontal="center"/>
      <protection/>
    </xf>
    <xf numFmtId="184" fontId="11" fillId="0" borderId="11" xfId="64" applyNumberFormat="1" applyFont="1" applyFill="1" applyBorder="1" applyAlignment="1" applyProtection="1">
      <alignment horizontal="center"/>
      <protection/>
    </xf>
    <xf numFmtId="184" fontId="11" fillId="0" borderId="16" xfId="64" applyNumberFormat="1" applyFont="1" applyFill="1" applyBorder="1" applyAlignment="1" applyProtection="1">
      <alignment horizontal="center"/>
      <protection/>
    </xf>
    <xf numFmtId="183" fontId="11" fillId="0" borderId="42" xfId="64" applyNumberFormat="1" applyFont="1" applyFill="1" applyBorder="1" applyAlignment="1" applyProtection="1">
      <alignment horizontal="center"/>
      <protection locked="0"/>
    </xf>
    <xf numFmtId="184" fontId="29" fillId="0" borderId="43" xfId="64" applyNumberFormat="1" applyFont="1" applyFill="1" applyBorder="1" applyAlignment="1" applyProtection="1">
      <alignment horizontal="center"/>
      <protection/>
    </xf>
    <xf numFmtId="184" fontId="11" fillId="0" borderId="52" xfId="64" applyNumberFormat="1" applyFont="1" applyFill="1" applyBorder="1" applyAlignment="1" applyProtection="1">
      <alignment horizontal="center"/>
      <protection/>
    </xf>
    <xf numFmtId="184" fontId="11" fillId="0" borderId="53" xfId="64" applyNumberFormat="1" applyFont="1" applyFill="1" applyBorder="1" applyAlignment="1" applyProtection="1">
      <alignment horizontal="center"/>
      <protection/>
    </xf>
    <xf numFmtId="184" fontId="11" fillId="0" borderId="54" xfId="64" applyNumberFormat="1" applyFont="1" applyFill="1" applyBorder="1" applyAlignment="1" applyProtection="1">
      <alignment horizontal="center"/>
      <protection/>
    </xf>
    <xf numFmtId="184" fontId="11" fillId="0" borderId="43" xfId="64" applyNumberFormat="1" applyFont="1" applyFill="1" applyBorder="1" applyAlignment="1" applyProtection="1">
      <alignment horizontal="center"/>
      <protection/>
    </xf>
    <xf numFmtId="183" fontId="29" fillId="0" borderId="43" xfId="64" applyNumberFormat="1" applyFont="1" applyFill="1" applyBorder="1" applyAlignment="1" applyProtection="1">
      <alignment horizontal="center"/>
      <protection locked="0"/>
    </xf>
    <xf numFmtId="0" fontId="11" fillId="0" borderId="22" xfId="64" applyFont="1" applyBorder="1" applyProtection="1">
      <alignment/>
      <protection/>
    </xf>
    <xf numFmtId="0" fontId="12" fillId="0" borderId="23" xfId="64" applyFont="1" applyBorder="1" applyAlignment="1" applyProtection="1">
      <alignment/>
      <protection/>
    </xf>
    <xf numFmtId="0" fontId="11" fillId="0" borderId="0" xfId="62" applyFont="1" applyAlignment="1" applyProtection="1">
      <alignment/>
      <protection/>
    </xf>
    <xf numFmtId="184" fontId="12" fillId="0" borderId="41" xfId="64" applyNumberFormat="1" applyFont="1" applyFill="1" applyBorder="1" applyAlignment="1" applyProtection="1">
      <alignment horizontal="center"/>
      <protection/>
    </xf>
    <xf numFmtId="184" fontId="11" fillId="0" borderId="48" xfId="64" applyNumberFormat="1" applyFont="1" applyFill="1" applyBorder="1" applyAlignment="1" applyProtection="1">
      <alignment horizontal="center"/>
      <protection/>
    </xf>
    <xf numFmtId="184" fontId="11" fillId="0" borderId="49" xfId="64" applyNumberFormat="1" applyFont="1" applyFill="1" applyBorder="1" applyAlignment="1" applyProtection="1">
      <alignment horizontal="center"/>
      <protection/>
    </xf>
    <xf numFmtId="184" fontId="11" fillId="0" borderId="50" xfId="64" applyNumberFormat="1" applyFont="1" applyFill="1" applyBorder="1" applyAlignment="1" applyProtection="1">
      <alignment horizontal="center"/>
      <protection/>
    </xf>
    <xf numFmtId="183" fontId="11" fillId="0" borderId="41" xfId="64" applyNumberFormat="1" applyFont="1" applyFill="1" applyBorder="1" applyAlignment="1" applyProtection="1">
      <alignment horizontal="center"/>
      <protection locked="0"/>
    </xf>
    <xf numFmtId="183" fontId="29" fillId="0" borderId="43" xfId="64" applyNumberFormat="1" applyFont="1" applyFill="1" applyBorder="1" applyAlignment="1" applyProtection="1">
      <alignment horizontal="center"/>
      <protection/>
    </xf>
    <xf numFmtId="183" fontId="30" fillId="36" borderId="36" xfId="61" applyNumberFormat="1" applyFont="1" applyFill="1" applyBorder="1" applyAlignment="1" applyProtection="1">
      <alignment horizontal="center" vertical="center"/>
      <protection locked="0"/>
    </xf>
    <xf numFmtId="183" fontId="30" fillId="36" borderId="14" xfId="61" applyNumberFormat="1" applyFont="1" applyFill="1" applyBorder="1" applyAlignment="1" applyProtection="1">
      <alignment horizontal="center" vertical="center"/>
      <protection locked="0"/>
    </xf>
    <xf numFmtId="183" fontId="30" fillId="36" borderId="37" xfId="61" applyNumberFormat="1" applyFont="1" applyFill="1" applyBorder="1" applyAlignment="1" applyProtection="1">
      <alignment horizontal="center" vertical="center"/>
      <protection locked="0"/>
    </xf>
    <xf numFmtId="183" fontId="30" fillId="36" borderId="13" xfId="61" applyNumberFormat="1" applyFont="1" applyFill="1" applyBorder="1" applyAlignment="1" applyProtection="1">
      <alignment horizontal="center" vertical="center"/>
      <protection locked="0"/>
    </xf>
    <xf numFmtId="183" fontId="0" fillId="37" borderId="14" xfId="61" applyNumberFormat="1" applyFill="1" applyBorder="1" applyAlignment="1" applyProtection="1">
      <alignment horizontal="center" vertical="center"/>
      <protection/>
    </xf>
    <xf numFmtId="0" fontId="0" fillId="0" borderId="55" xfId="61" applyBorder="1" applyAlignment="1" applyProtection="1">
      <alignment horizontal="center" vertical="center"/>
      <protection/>
    </xf>
    <xf numFmtId="0" fontId="0" fillId="0" borderId="25" xfId="61" applyBorder="1" applyAlignment="1" applyProtection="1">
      <alignment horizontal="center" vertical="center"/>
      <protection/>
    </xf>
    <xf numFmtId="0" fontId="0" fillId="0" borderId="47" xfId="61" applyBorder="1" applyAlignment="1" applyProtection="1">
      <alignment horizontal="center" vertical="center"/>
      <protection/>
    </xf>
    <xf numFmtId="0" fontId="0" fillId="0" borderId="55" xfId="61" applyFill="1" applyBorder="1" applyAlignment="1" applyProtection="1">
      <alignment horizontal="center" vertical="center"/>
      <protection/>
    </xf>
    <xf numFmtId="183" fontId="30" fillId="38" borderId="36" xfId="61" applyNumberFormat="1" applyFont="1" applyFill="1" applyBorder="1" applyAlignment="1" applyProtection="1">
      <alignment horizontal="center" vertical="center"/>
      <protection/>
    </xf>
    <xf numFmtId="183" fontId="30" fillId="38" borderId="14" xfId="61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/>
      <protection/>
    </xf>
    <xf numFmtId="183" fontId="30" fillId="38" borderId="38" xfId="61" applyNumberFormat="1" applyFont="1" applyFill="1" applyBorder="1" applyAlignment="1" applyProtection="1">
      <alignment horizontal="center" vertical="center"/>
      <protection/>
    </xf>
    <xf numFmtId="183" fontId="30" fillId="38" borderId="44" xfId="61" applyNumberFormat="1" applyFont="1" applyFill="1" applyBorder="1" applyAlignment="1" applyProtection="1">
      <alignment horizontal="center" vertical="center"/>
      <protection/>
    </xf>
    <xf numFmtId="183" fontId="30" fillId="36" borderId="44" xfId="61" applyNumberFormat="1" applyFont="1" applyFill="1" applyBorder="1" applyAlignment="1" applyProtection="1">
      <alignment horizontal="center" vertical="center"/>
      <protection locked="0"/>
    </xf>
    <xf numFmtId="183" fontId="30" fillId="36" borderId="40" xfId="61" applyNumberFormat="1" applyFont="1" applyFill="1" applyBorder="1" applyAlignment="1" applyProtection="1">
      <alignment horizontal="center" vertical="center"/>
      <protection locked="0"/>
    </xf>
    <xf numFmtId="183" fontId="30" fillId="36" borderId="39" xfId="61" applyNumberFormat="1" applyFont="1" applyFill="1" applyBorder="1" applyAlignment="1" applyProtection="1">
      <alignment horizontal="center" vertical="center"/>
      <protection locked="0"/>
    </xf>
    <xf numFmtId="0" fontId="2" fillId="0" borderId="0" xfId="61" applyFont="1" applyProtection="1">
      <alignment/>
      <protection/>
    </xf>
    <xf numFmtId="0" fontId="0" fillId="0" borderId="0" xfId="61" applyAlignment="1" applyProtection="1">
      <alignment horizontal="center"/>
      <protection/>
    </xf>
    <xf numFmtId="0" fontId="2" fillId="0" borderId="48" xfId="61" applyFont="1" applyBorder="1" applyProtection="1">
      <alignment/>
      <protection/>
    </xf>
    <xf numFmtId="0" fontId="0" fillId="0" borderId="56" xfId="61" applyBorder="1" applyAlignment="1" applyProtection="1">
      <alignment horizontal="center"/>
      <protection/>
    </xf>
    <xf numFmtId="0" fontId="2" fillId="0" borderId="57" xfId="61" applyFont="1" applyBorder="1" applyAlignment="1" applyProtection="1">
      <alignment horizontal="centerContinuous" vertical="center"/>
      <protection/>
    </xf>
    <xf numFmtId="0" fontId="2" fillId="0" borderId="58" xfId="61" applyFont="1" applyBorder="1" applyAlignment="1" applyProtection="1">
      <alignment horizontal="centerContinuous" vertical="center"/>
      <protection/>
    </xf>
    <xf numFmtId="0" fontId="0" fillId="0" borderId="59" xfId="61" applyBorder="1" applyAlignment="1" applyProtection="1">
      <alignment horizontal="centerContinuous" vertical="center"/>
      <protection/>
    </xf>
    <xf numFmtId="0" fontId="0" fillId="0" borderId="58" xfId="61" applyBorder="1" applyAlignment="1" applyProtection="1">
      <alignment horizontal="centerContinuous" vertical="center"/>
      <protection/>
    </xf>
    <xf numFmtId="0" fontId="2" fillId="0" borderId="60" xfId="61" applyFont="1" applyBorder="1" applyAlignment="1" applyProtection="1">
      <alignment horizontal="centerContinuous" vertical="center"/>
      <protection/>
    </xf>
    <xf numFmtId="0" fontId="2" fillId="0" borderId="61" xfId="61" applyFont="1" applyBorder="1" applyAlignment="1" applyProtection="1">
      <alignment horizontal="centerContinuous" vertical="center"/>
      <protection/>
    </xf>
    <xf numFmtId="0" fontId="2" fillId="0" borderId="62" xfId="61" applyFont="1" applyBorder="1" applyAlignment="1" applyProtection="1">
      <alignment horizontal="centerContinuous" vertical="center"/>
      <protection/>
    </xf>
    <xf numFmtId="0" fontId="0" fillId="0" borderId="63" xfId="61" applyBorder="1" applyProtection="1">
      <alignment/>
      <protection/>
    </xf>
    <xf numFmtId="0" fontId="2" fillId="0" borderId="64" xfId="61" applyFont="1" applyBorder="1" applyAlignment="1" applyProtection="1">
      <alignment horizontal="center" vertical="center"/>
      <protection/>
    </xf>
    <xf numFmtId="0" fontId="2" fillId="0" borderId="63" xfId="61" applyFont="1" applyBorder="1" applyAlignment="1" applyProtection="1">
      <alignment horizontal="center" vertical="center" wrapText="1"/>
      <protection/>
    </xf>
    <xf numFmtId="0" fontId="2" fillId="0" borderId="12" xfId="61" applyFont="1" applyBorder="1" applyAlignment="1" applyProtection="1">
      <alignment horizontal="center" vertical="center" wrapText="1"/>
      <protection/>
    </xf>
    <xf numFmtId="0" fontId="2" fillId="0" borderId="64" xfId="61" applyFont="1" applyBorder="1" applyAlignment="1" applyProtection="1">
      <alignment horizontal="center" vertical="center" wrapText="1"/>
      <protection/>
    </xf>
    <xf numFmtId="0" fontId="2" fillId="0" borderId="21" xfId="61" applyFont="1" applyBorder="1" applyAlignment="1" applyProtection="1">
      <alignment horizontal="center" vertical="center" wrapText="1"/>
      <protection/>
    </xf>
    <xf numFmtId="0" fontId="2" fillId="0" borderId="36" xfId="61" applyFont="1" applyBorder="1" applyAlignment="1" applyProtection="1">
      <alignment horizontal="center" vertical="center" wrapText="1"/>
      <protection/>
    </xf>
    <xf numFmtId="0" fontId="2" fillId="0" borderId="13" xfId="61" applyFont="1" applyBorder="1" applyAlignment="1" applyProtection="1">
      <alignment horizontal="center" vertical="center" wrapText="1"/>
      <protection/>
    </xf>
    <xf numFmtId="0" fontId="2" fillId="0" borderId="37" xfId="61" applyFont="1" applyBorder="1" applyAlignment="1" applyProtection="1">
      <alignment horizontal="center" vertical="center" wrapText="1"/>
      <protection/>
    </xf>
    <xf numFmtId="0" fontId="0" fillId="0" borderId="26" xfId="61" applyBorder="1" applyProtection="1">
      <alignment/>
      <protection/>
    </xf>
    <xf numFmtId="0" fontId="0" fillId="0" borderId="65" xfId="61" applyNumberFormat="1" applyFont="1" applyBorder="1" applyAlignment="1" applyProtection="1">
      <alignment horizontal="center" wrapText="1"/>
      <protection/>
    </xf>
    <xf numFmtId="0" fontId="0" fillId="0" borderId="29" xfId="61" applyBorder="1" applyProtection="1">
      <alignment/>
      <protection/>
    </xf>
    <xf numFmtId="0" fontId="0" fillId="0" borderId="66" xfId="61" applyNumberFormat="1" applyFont="1" applyBorder="1" applyAlignment="1" applyProtection="1">
      <alignment horizontal="center" wrapText="1"/>
      <protection/>
    </xf>
    <xf numFmtId="0" fontId="0" fillId="0" borderId="0" xfId="61" applyAlignment="1" applyProtection="1">
      <alignment horizontal="center" vertical="center"/>
      <protection/>
    </xf>
    <xf numFmtId="0" fontId="2" fillId="0" borderId="51" xfId="61" applyFont="1" applyBorder="1" applyAlignment="1" applyProtection="1">
      <alignment horizontal="left" indent="1"/>
      <protection/>
    </xf>
    <xf numFmtId="0" fontId="0" fillId="0" borderId="65" xfId="61" applyFill="1" applyBorder="1" applyAlignment="1" applyProtection="1">
      <alignment horizontal="center"/>
      <protection/>
    </xf>
    <xf numFmtId="0" fontId="0" fillId="0" borderId="67" xfId="61" applyFill="1" applyBorder="1" applyAlignment="1" applyProtection="1">
      <alignment horizontal="center" vertical="center"/>
      <protection/>
    </xf>
    <xf numFmtId="0" fontId="0" fillId="0" borderId="27" xfId="61" applyFill="1" applyBorder="1" applyAlignment="1" applyProtection="1">
      <alignment horizontal="center" vertical="center"/>
      <protection/>
    </xf>
    <xf numFmtId="0" fontId="0" fillId="0" borderId="68" xfId="61" applyFill="1" applyBorder="1" applyAlignment="1" applyProtection="1">
      <alignment horizontal="center" vertical="center"/>
      <protection/>
    </xf>
    <xf numFmtId="0" fontId="2" fillId="0" borderId="51" xfId="61" applyFont="1" applyBorder="1" applyAlignment="1" applyProtection="1">
      <alignment horizontal="left" wrapText="1"/>
      <protection/>
    </xf>
    <xf numFmtId="0" fontId="0" fillId="0" borderId="51" xfId="61" applyFont="1" applyBorder="1" applyAlignment="1" applyProtection="1">
      <alignment horizontal="left" wrapText="1" indent="1"/>
      <protection/>
    </xf>
    <xf numFmtId="0" fontId="2" fillId="0" borderId="51" xfId="61" applyFont="1" applyBorder="1" applyAlignment="1" applyProtection="1">
      <alignment horizontal="left"/>
      <protection/>
    </xf>
    <xf numFmtId="0" fontId="0" fillId="0" borderId="65" xfId="61" applyNumberFormat="1" applyBorder="1" applyAlignment="1" applyProtection="1">
      <alignment horizontal="center"/>
      <protection/>
    </xf>
    <xf numFmtId="0" fontId="0" fillId="0" borderId="69" xfId="61" applyBorder="1" applyAlignment="1" applyProtection="1">
      <alignment horizontal="center" vertical="center"/>
      <protection/>
    </xf>
    <xf numFmtId="0" fontId="0" fillId="0" borderId="24" xfId="61" applyBorder="1" applyAlignment="1" applyProtection="1">
      <alignment horizontal="center" vertical="center"/>
      <protection/>
    </xf>
    <xf numFmtId="0" fontId="0" fillId="0" borderId="70" xfId="61" applyBorder="1" applyAlignment="1" applyProtection="1">
      <alignment horizontal="center" vertical="center"/>
      <protection/>
    </xf>
    <xf numFmtId="0" fontId="2" fillId="0" borderId="26" xfId="61" applyFont="1" applyBorder="1" applyAlignment="1" applyProtection="1">
      <alignment horizontal="left" wrapText="1"/>
      <protection/>
    </xf>
    <xf numFmtId="0" fontId="0" fillId="0" borderId="26" xfId="61" applyFont="1" applyBorder="1" applyAlignment="1" applyProtection="1">
      <alignment horizontal="left" indent="1"/>
      <protection/>
    </xf>
    <xf numFmtId="0" fontId="0" fillId="0" borderId="26" xfId="6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0" fillId="0" borderId="31" xfId="61" applyBorder="1" applyAlignment="1" applyProtection="1">
      <alignment horizontal="center" vertical="center"/>
      <protection/>
    </xf>
    <xf numFmtId="0" fontId="0" fillId="0" borderId="67" xfId="61" applyBorder="1" applyProtection="1">
      <alignment/>
      <protection/>
    </xf>
    <xf numFmtId="0" fontId="0" fillId="0" borderId="27" xfId="61" applyBorder="1" applyProtection="1">
      <alignment/>
      <protection/>
    </xf>
    <xf numFmtId="0" fontId="0" fillId="0" borderId="68" xfId="61" applyBorder="1" applyProtection="1">
      <alignment/>
      <protection/>
    </xf>
    <xf numFmtId="0" fontId="2" fillId="0" borderId="29" xfId="61" applyFont="1" applyBorder="1" applyAlignment="1" applyProtection="1">
      <alignment horizontal="left" wrapText="1"/>
      <protection/>
    </xf>
    <xf numFmtId="0" fontId="0" fillId="0" borderId="50" xfId="61" applyBorder="1" applyAlignment="1" applyProtection="1">
      <alignment horizontal="center"/>
      <protection/>
    </xf>
    <xf numFmtId="0" fontId="2" fillId="0" borderId="17" xfId="61" applyFont="1" applyBorder="1" applyAlignment="1" applyProtection="1">
      <alignment horizontal="center" vertical="center"/>
      <protection/>
    </xf>
    <xf numFmtId="0" fontId="2" fillId="0" borderId="51" xfId="61" applyFont="1" applyBorder="1" applyProtection="1">
      <alignment/>
      <protection/>
    </xf>
    <xf numFmtId="0" fontId="2" fillId="0" borderId="16" xfId="6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6" xfId="61" applyNumberFormat="1" applyFont="1" applyBorder="1" applyAlignment="1" applyProtection="1">
      <alignment horizontal="center" wrapText="1"/>
      <protection/>
    </xf>
    <xf numFmtId="0" fontId="0" fillId="0" borderId="51" xfId="61" applyFont="1" applyBorder="1" applyAlignment="1" applyProtection="1">
      <alignment horizontal="left" indent="2"/>
      <protection/>
    </xf>
    <xf numFmtId="1" fontId="30" fillId="36" borderId="36" xfId="61" applyNumberFormat="1" applyFont="1" applyFill="1" applyBorder="1" applyAlignment="1" applyProtection="1">
      <alignment horizontal="center" vertical="center"/>
      <protection locked="0"/>
    </xf>
    <xf numFmtId="1" fontId="30" fillId="36" borderId="14" xfId="61" applyNumberFormat="1" applyFont="1" applyFill="1" applyBorder="1" applyAlignment="1" applyProtection="1">
      <alignment horizontal="center" vertical="center"/>
      <protection locked="0"/>
    </xf>
    <xf numFmtId="1" fontId="30" fillId="36" borderId="37" xfId="61" applyNumberFormat="1" applyFont="1" applyFill="1" applyBorder="1" applyAlignment="1" applyProtection="1">
      <alignment horizontal="center" vertical="center"/>
      <protection locked="0"/>
    </xf>
    <xf numFmtId="1" fontId="30" fillId="36" borderId="13" xfId="61" applyNumberFormat="1" applyFont="1" applyFill="1" applyBorder="1" applyAlignment="1" applyProtection="1">
      <alignment horizontal="center" vertical="center"/>
      <protection locked="0"/>
    </xf>
    <xf numFmtId="1" fontId="0" fillId="0" borderId="0" xfId="61" applyNumberFormat="1" applyBorder="1" applyAlignment="1" applyProtection="1">
      <alignment horizontal="center" vertical="center"/>
      <protection/>
    </xf>
    <xf numFmtId="1" fontId="0" fillId="0" borderId="31" xfId="61" applyNumberFormat="1" applyBorder="1" applyAlignment="1" applyProtection="1">
      <alignment horizontal="center" vertical="center"/>
      <protection/>
    </xf>
    <xf numFmtId="1" fontId="30" fillId="36" borderId="71" xfId="61" applyNumberFormat="1" applyFont="1" applyFill="1" applyBorder="1" applyAlignment="1" applyProtection="1">
      <alignment horizontal="center" vertical="center"/>
      <protection locked="0"/>
    </xf>
    <xf numFmtId="1" fontId="30" fillId="36" borderId="19" xfId="61" applyNumberFormat="1" applyFont="1" applyFill="1" applyBorder="1" applyAlignment="1" applyProtection="1">
      <alignment horizontal="center" vertical="center"/>
      <protection locked="0"/>
    </xf>
    <xf numFmtId="1" fontId="30" fillId="36" borderId="72" xfId="61" applyNumberFormat="1" applyFont="1" applyFill="1" applyBorder="1" applyAlignment="1" applyProtection="1">
      <alignment horizontal="center" vertical="center"/>
      <protection locked="0"/>
    </xf>
    <xf numFmtId="1" fontId="30" fillId="36" borderId="10" xfId="61" applyNumberFormat="1" applyFont="1" applyFill="1" applyBorder="1" applyAlignment="1" applyProtection="1">
      <alignment horizontal="center" vertical="center"/>
      <protection locked="0"/>
    </xf>
    <xf numFmtId="0" fontId="2" fillId="0" borderId="51" xfId="61" applyFont="1" applyBorder="1" applyAlignment="1" applyProtection="1">
      <alignment horizontal="left" wrapText="1" indent="1"/>
      <protection/>
    </xf>
    <xf numFmtId="0" fontId="23" fillId="0" borderId="0" xfId="0" applyFont="1" applyBorder="1" applyAlignment="1" applyProtection="1">
      <alignment/>
      <protection/>
    </xf>
    <xf numFmtId="0" fontId="2" fillId="0" borderId="52" xfId="61" applyFont="1" applyBorder="1" applyAlignment="1" applyProtection="1">
      <alignment horizontal="left" wrapText="1" indent="1"/>
      <protection/>
    </xf>
    <xf numFmtId="0" fontId="0" fillId="0" borderId="54" xfId="61" applyNumberFormat="1" applyFont="1" applyBorder="1" applyAlignment="1" applyProtection="1">
      <alignment horizontal="center" wrapText="1"/>
      <protection/>
    </xf>
    <xf numFmtId="0" fontId="2" fillId="0" borderId="0" xfId="61" applyFont="1" applyBorder="1" applyAlignment="1" applyProtection="1">
      <alignment horizontal="left" wrapText="1" indent="1"/>
      <protection/>
    </xf>
    <xf numFmtId="0" fontId="0" fillId="0" borderId="0" xfId="0" applyAlignment="1" applyProtection="1">
      <alignment horizontal="center"/>
      <protection/>
    </xf>
    <xf numFmtId="0" fontId="2" fillId="0" borderId="0" xfId="61" applyFont="1" applyAlignment="1" applyProtection="1">
      <alignment horizontal="left" wrapText="1" indent="1"/>
      <protection/>
    </xf>
    <xf numFmtId="0" fontId="0" fillId="0" borderId="0" xfId="61" applyNumberFormat="1" applyFont="1" applyAlignment="1" applyProtection="1">
      <alignment horizont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0" fontId="0" fillId="0" borderId="22" xfId="61" applyBorder="1" applyProtection="1">
      <alignment/>
      <protection/>
    </xf>
    <xf numFmtId="0" fontId="2" fillId="0" borderId="67" xfId="61" applyFont="1" applyBorder="1" applyAlignment="1" applyProtection="1">
      <alignment horizontal="center" vertical="center"/>
      <protection/>
    </xf>
    <xf numFmtId="0" fontId="2" fillId="0" borderId="26" xfId="61" applyFont="1" applyBorder="1" applyProtection="1">
      <alignment/>
      <protection/>
    </xf>
    <xf numFmtId="0" fontId="2" fillId="0" borderId="15" xfId="61" applyFont="1" applyBorder="1" applyAlignment="1" applyProtection="1">
      <alignment horizontal="center"/>
      <protection/>
    </xf>
    <xf numFmtId="0" fontId="2" fillId="0" borderId="26" xfId="61" applyFont="1" applyBorder="1" applyAlignment="1" applyProtection="1">
      <alignment horizontal="left" indent="1"/>
      <protection/>
    </xf>
    <xf numFmtId="0" fontId="0" fillId="0" borderId="16" xfId="61" applyFill="1" applyBorder="1" applyAlignment="1" applyProtection="1">
      <alignment horizontal="center"/>
      <protection/>
    </xf>
    <xf numFmtId="0" fontId="0" fillId="0" borderId="67" xfId="6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0" fillId="0" borderId="68" xfId="61" applyBorder="1" applyAlignment="1" applyProtection="1">
      <alignment horizontal="center" vertical="center"/>
      <protection/>
    </xf>
    <xf numFmtId="0" fontId="0" fillId="0" borderId="26" xfId="61" applyBorder="1" applyAlignment="1" applyProtection="1">
      <alignment horizontal="left" wrapText="1" indent="2"/>
      <protection/>
    </xf>
    <xf numFmtId="0" fontId="2" fillId="0" borderId="26" xfId="61" applyFont="1" applyBorder="1" applyAlignment="1" applyProtection="1">
      <alignment horizontal="left" wrapText="1" indent="2"/>
      <protection/>
    </xf>
    <xf numFmtId="0" fontId="0" fillId="0" borderId="16" xfId="61" applyNumberFormat="1" applyBorder="1" applyAlignment="1" applyProtection="1">
      <alignment horizontal="center"/>
      <protection/>
    </xf>
    <xf numFmtId="0" fontId="2" fillId="0" borderId="26" xfId="61" applyFont="1" applyBorder="1" applyAlignment="1" applyProtection="1">
      <alignment horizontal="left" wrapText="1" indent="1"/>
      <protection/>
    </xf>
    <xf numFmtId="0" fontId="2" fillId="0" borderId="29" xfId="61" applyFont="1" applyBorder="1" applyAlignment="1" applyProtection="1">
      <alignment horizontal="left" wrapText="1" indent="1"/>
      <protection/>
    </xf>
    <xf numFmtId="0" fontId="2" fillId="0" borderId="29" xfId="61" applyFont="1" applyBorder="1" applyAlignment="1" applyProtection="1">
      <alignment horizontal="left" indent="1"/>
      <protection/>
    </xf>
    <xf numFmtId="0" fontId="0" fillId="0" borderId="26" xfId="61" applyFont="1" applyBorder="1" applyAlignment="1" applyProtection="1">
      <alignment horizontal="left" wrapText="1"/>
      <protection/>
    </xf>
    <xf numFmtId="0" fontId="0" fillId="0" borderId="65" xfId="61" applyBorder="1" applyAlignment="1" applyProtection="1">
      <alignment horizontal="center"/>
      <protection/>
    </xf>
    <xf numFmtId="183" fontId="0" fillId="37" borderId="63" xfId="61" applyNumberFormat="1" applyFill="1" applyBorder="1" applyAlignment="1" applyProtection="1">
      <alignment horizontal="center" vertical="center"/>
      <protection/>
    </xf>
    <xf numFmtId="183" fontId="0" fillId="37" borderId="12" xfId="61" applyNumberFormat="1" applyFill="1" applyBorder="1" applyAlignment="1" applyProtection="1">
      <alignment horizontal="center" vertical="center"/>
      <protection/>
    </xf>
    <xf numFmtId="183" fontId="0" fillId="37" borderId="64" xfId="61" applyNumberFormat="1" applyFill="1" applyBorder="1" applyAlignment="1" applyProtection="1">
      <alignment horizontal="center" vertical="center"/>
      <protection/>
    </xf>
    <xf numFmtId="0" fontId="0" fillId="0" borderId="29" xfId="61" applyFont="1" applyBorder="1" applyAlignment="1" applyProtection="1">
      <alignment horizontal="left" wrapText="1"/>
      <protection/>
    </xf>
    <xf numFmtId="0" fontId="0" fillId="0" borderId="66" xfId="61" applyBorder="1" applyAlignment="1" applyProtection="1">
      <alignment horizontal="center"/>
      <protection/>
    </xf>
    <xf numFmtId="0" fontId="0" fillId="0" borderId="0" xfId="61" applyBorder="1" applyProtection="1">
      <alignment/>
      <protection/>
    </xf>
    <xf numFmtId="0" fontId="0" fillId="0" borderId="0" xfId="61" applyFont="1" applyBorder="1" applyProtection="1">
      <alignment/>
      <protection/>
    </xf>
    <xf numFmtId="0" fontId="0" fillId="0" borderId="0" xfId="6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3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51" xfId="61" applyBorder="1" applyProtection="1">
      <alignment/>
      <protection/>
    </xf>
    <xf numFmtId="0" fontId="2" fillId="0" borderId="14" xfId="61" applyFont="1" applyBorder="1" applyAlignment="1" applyProtection="1">
      <alignment horizontal="center" vertical="center" wrapText="1"/>
      <protection/>
    </xf>
    <xf numFmtId="0" fontId="2" fillId="0" borderId="63" xfId="61" applyFont="1" applyFill="1" applyBorder="1" applyAlignment="1" applyProtection="1">
      <alignment horizontal="center" vertical="center"/>
      <protection/>
    </xf>
    <xf numFmtId="0" fontId="2" fillId="0" borderId="12" xfId="61" applyFont="1" applyFill="1" applyBorder="1" applyAlignment="1" applyProtection="1">
      <alignment horizontal="center" vertical="center"/>
      <protection/>
    </xf>
    <xf numFmtId="0" fontId="2" fillId="0" borderId="64" xfId="61" applyFont="1" applyFill="1" applyBorder="1" applyAlignment="1" applyProtection="1">
      <alignment horizontal="center" vertical="center"/>
      <protection/>
    </xf>
    <xf numFmtId="0" fontId="2" fillId="0" borderId="21" xfId="61" applyFont="1" applyFill="1" applyBorder="1" applyAlignment="1" applyProtection="1">
      <alignment horizontal="center" vertical="center"/>
      <protection/>
    </xf>
    <xf numFmtId="0" fontId="2" fillId="0" borderId="26" xfId="61" applyFont="1" applyBorder="1" applyAlignment="1" applyProtection="1">
      <alignment horizontal="left"/>
      <protection/>
    </xf>
    <xf numFmtId="0" fontId="0" fillId="0" borderId="26" xfId="61" applyFill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horizontal="center" vertical="center"/>
      <protection/>
    </xf>
    <xf numFmtId="0" fontId="0" fillId="0" borderId="31" xfId="61" applyFill="1" applyBorder="1" applyAlignment="1" applyProtection="1">
      <alignment horizontal="center" vertical="center"/>
      <protection/>
    </xf>
    <xf numFmtId="9" fontId="0" fillId="0" borderId="31" xfId="71" applyFont="1" applyBorder="1" applyAlignment="1" applyProtection="1">
      <alignment horizontal="center" vertical="center"/>
      <protection/>
    </xf>
    <xf numFmtId="0" fontId="0" fillId="0" borderId="26" xfId="61" applyFont="1" applyBorder="1" applyAlignment="1" applyProtection="1">
      <alignment horizontal="left" wrapText="1" indent="1"/>
      <protection/>
    </xf>
    <xf numFmtId="183" fontId="0" fillId="0" borderId="0" xfId="0" applyNumberFormat="1" applyBorder="1" applyAlignment="1" applyProtection="1">
      <alignment/>
      <protection/>
    </xf>
    <xf numFmtId="183" fontId="0" fillId="0" borderId="0" xfId="0" applyNumberFormat="1" applyAlignment="1" applyProtection="1">
      <alignment/>
      <protection/>
    </xf>
    <xf numFmtId="183" fontId="23" fillId="0" borderId="0" xfId="0" applyNumberFormat="1" applyFont="1" applyAlignment="1" applyProtection="1">
      <alignment/>
      <protection/>
    </xf>
    <xf numFmtId="183" fontId="0" fillId="0" borderId="26" xfId="61" applyNumberFormat="1" applyFill="1" applyBorder="1" applyAlignment="1" applyProtection="1">
      <alignment horizontal="center" vertical="center"/>
      <protection/>
    </xf>
    <xf numFmtId="183" fontId="0" fillId="0" borderId="0" xfId="61" applyNumberFormat="1" applyFill="1" applyBorder="1" applyAlignment="1" applyProtection="1">
      <alignment horizontal="center" vertical="center"/>
      <protection/>
    </xf>
    <xf numFmtId="183" fontId="0" fillId="0" borderId="31" xfId="61" applyNumberFormat="1" applyFill="1" applyBorder="1" applyAlignment="1" applyProtection="1">
      <alignment horizontal="center" vertical="center"/>
      <protection/>
    </xf>
    <xf numFmtId="183" fontId="0" fillId="0" borderId="0" xfId="61" applyNumberFormat="1" applyBorder="1" applyAlignment="1" applyProtection="1">
      <alignment horizontal="center" vertical="center"/>
      <protection/>
    </xf>
    <xf numFmtId="183" fontId="0" fillId="0" borderId="31" xfId="61" applyNumberFormat="1" applyBorder="1" applyAlignment="1" applyProtection="1">
      <alignment horizontal="center" vertical="center"/>
      <protection/>
    </xf>
    <xf numFmtId="0" fontId="0" fillId="0" borderId="48" xfId="61" applyBorder="1" applyProtection="1">
      <alignment/>
      <protection/>
    </xf>
    <xf numFmtId="0" fontId="0" fillId="0" borderId="60" xfId="61" applyBorder="1" applyAlignment="1" applyProtection="1">
      <alignment horizontal="centerContinuous"/>
      <protection/>
    </xf>
    <xf numFmtId="0" fontId="0" fillId="0" borderId="62" xfId="61" applyBorder="1" applyAlignment="1" applyProtection="1">
      <alignment horizontal="centerContinuous"/>
      <protection/>
    </xf>
    <xf numFmtId="0" fontId="0" fillId="0" borderId="23" xfId="61" applyBorder="1" applyAlignment="1" applyProtection="1">
      <alignment horizontal="centerContinuous"/>
      <protection/>
    </xf>
    <xf numFmtId="0" fontId="0" fillId="0" borderId="28" xfId="61" applyBorder="1" applyAlignment="1" applyProtection="1">
      <alignment horizontal="centerContinuous"/>
      <protection/>
    </xf>
    <xf numFmtId="0" fontId="2" fillId="0" borderId="13" xfId="61" applyFont="1" applyBorder="1" applyAlignment="1" applyProtection="1">
      <alignment horizontal="center" vertical="center"/>
      <protection/>
    </xf>
    <xf numFmtId="0" fontId="0" fillId="0" borderId="0" xfId="61" applyProtection="1">
      <alignment/>
      <protection locked="0"/>
    </xf>
    <xf numFmtId="0" fontId="0" fillId="0" borderId="71" xfId="61" applyBorder="1" applyProtection="1">
      <alignment/>
      <protection locked="0"/>
    </xf>
    <xf numFmtId="0" fontId="30" fillId="36" borderId="13" xfId="61" applyFont="1" applyFill="1" applyBorder="1" applyAlignment="1" applyProtection="1">
      <alignment horizontal="center" vertical="center"/>
      <protection locked="0"/>
    </xf>
    <xf numFmtId="0" fontId="30" fillId="36" borderId="18" xfId="61" applyFont="1" applyFill="1" applyBorder="1" applyAlignment="1" applyProtection="1">
      <alignment horizontal="center" vertical="center"/>
      <protection locked="0"/>
    </xf>
    <xf numFmtId="182" fontId="30" fillId="36" borderId="36" xfId="61" applyNumberFormat="1" applyFont="1" applyFill="1" applyBorder="1" applyAlignment="1" applyProtection="1">
      <alignment horizontal="center" vertical="center"/>
      <protection locked="0"/>
    </xf>
    <xf numFmtId="183" fontId="0" fillId="37" borderId="37" xfId="61" applyNumberFormat="1" applyFill="1" applyBorder="1" applyAlignment="1" applyProtection="1">
      <alignment horizontal="center" vertical="center"/>
      <protection locked="0"/>
    </xf>
    <xf numFmtId="182" fontId="30" fillId="36" borderId="14" xfId="61" applyNumberFormat="1" applyFont="1" applyFill="1" applyBorder="1" applyAlignment="1" applyProtection="1">
      <alignment horizontal="center" vertical="center"/>
      <protection locked="0"/>
    </xf>
    <xf numFmtId="182" fontId="30" fillId="36" borderId="37" xfId="61" applyNumberFormat="1" applyFont="1" applyFill="1" applyBorder="1" applyAlignment="1" applyProtection="1">
      <alignment horizontal="center" vertical="center"/>
      <protection locked="0"/>
    </xf>
    <xf numFmtId="182" fontId="30" fillId="36" borderId="13" xfId="61" applyNumberFormat="1" applyFont="1" applyFill="1" applyBorder="1" applyAlignment="1" applyProtection="1">
      <alignment horizontal="center" vertical="center"/>
      <protection locked="0"/>
    </xf>
    <xf numFmtId="0" fontId="0" fillId="0" borderId="51" xfId="61" applyBorder="1" applyProtection="1">
      <alignment/>
      <protection locked="0"/>
    </xf>
    <xf numFmtId="0" fontId="30" fillId="36" borderId="10" xfId="61" applyFont="1" applyFill="1" applyBorder="1" applyAlignment="1" applyProtection="1">
      <alignment horizontal="center" vertical="center"/>
      <protection locked="0"/>
    </xf>
    <xf numFmtId="0" fontId="30" fillId="36" borderId="15" xfId="61" applyFont="1" applyFill="1" applyBorder="1" applyAlignment="1" applyProtection="1">
      <alignment horizontal="center" vertical="center"/>
      <protection locked="0"/>
    </xf>
    <xf numFmtId="182" fontId="30" fillId="36" borderId="71" xfId="61" applyNumberFormat="1" applyFont="1" applyFill="1" applyBorder="1" applyAlignment="1" applyProtection="1">
      <alignment horizontal="center" vertical="center"/>
      <protection locked="0"/>
    </xf>
    <xf numFmtId="183" fontId="0" fillId="37" borderId="72" xfId="61" applyNumberFormat="1" applyFill="1" applyBorder="1" applyAlignment="1" applyProtection="1">
      <alignment horizontal="center" vertical="center"/>
      <protection locked="0"/>
    </xf>
    <xf numFmtId="182" fontId="30" fillId="36" borderId="19" xfId="61" applyNumberFormat="1" applyFont="1" applyFill="1" applyBorder="1" applyAlignment="1" applyProtection="1">
      <alignment horizontal="center" vertical="center"/>
      <protection locked="0"/>
    </xf>
    <xf numFmtId="182" fontId="30" fillId="36" borderId="72" xfId="61" applyNumberFormat="1" applyFont="1" applyFill="1" applyBorder="1" applyAlignment="1" applyProtection="1">
      <alignment horizontal="center" vertical="center"/>
      <protection locked="0"/>
    </xf>
    <xf numFmtId="182" fontId="30" fillId="36" borderId="10" xfId="61" applyNumberFormat="1" applyFont="1" applyFill="1" applyBorder="1" applyAlignment="1" applyProtection="1">
      <alignment horizontal="center" vertical="center"/>
      <protection locked="0"/>
    </xf>
    <xf numFmtId="0" fontId="0" fillId="37" borderId="73" xfId="61" applyFill="1" applyBorder="1" applyProtection="1">
      <alignment/>
      <protection locked="0"/>
    </xf>
    <xf numFmtId="0" fontId="0" fillId="37" borderId="74" xfId="61" applyFill="1" applyBorder="1" applyAlignment="1" applyProtection="1">
      <alignment horizontal="center" vertical="center"/>
      <protection locked="0"/>
    </xf>
    <xf numFmtId="0" fontId="0" fillId="38" borderId="39" xfId="61" applyFill="1" applyBorder="1" applyAlignment="1" applyProtection="1">
      <alignment horizontal="center" vertical="center"/>
      <protection locked="0"/>
    </xf>
    <xf numFmtId="1" fontId="0" fillId="37" borderId="75" xfId="61" applyNumberFormat="1" applyFill="1" applyBorder="1" applyAlignment="1" applyProtection="1">
      <alignment horizontal="center" vertical="center"/>
      <protection locked="0"/>
    </xf>
    <xf numFmtId="183" fontId="0" fillId="37" borderId="73" xfId="61" applyNumberFormat="1" applyFill="1" applyBorder="1" applyAlignment="1" applyProtection="1">
      <alignment horizontal="center" vertical="center"/>
      <protection locked="0"/>
    </xf>
    <xf numFmtId="183" fontId="0" fillId="37" borderId="39" xfId="61" applyNumberFormat="1" applyFill="1" applyBorder="1" applyAlignment="1" applyProtection="1">
      <alignment horizontal="center" vertical="center"/>
      <protection locked="0"/>
    </xf>
    <xf numFmtId="2" fontId="0" fillId="37" borderId="39" xfId="61" applyNumberFormat="1" applyFill="1" applyBorder="1" applyAlignment="1" applyProtection="1">
      <alignment horizontal="center" vertical="center"/>
      <protection locked="0"/>
    </xf>
    <xf numFmtId="2" fontId="0" fillId="37" borderId="75" xfId="61" applyNumberFormat="1" applyFill="1" applyBorder="1" applyAlignment="1" applyProtection="1">
      <alignment horizontal="center" vertical="center"/>
      <protection locked="0"/>
    </xf>
    <xf numFmtId="2" fontId="0" fillId="37" borderId="73" xfId="61" applyNumberFormat="1" applyFill="1" applyBorder="1" applyAlignment="1" applyProtection="1">
      <alignment horizontal="center" vertical="center"/>
      <protection locked="0"/>
    </xf>
    <xf numFmtId="2" fontId="0" fillId="37" borderId="39" xfId="0" applyNumberFormat="1" applyFill="1" applyBorder="1" applyAlignment="1" applyProtection="1">
      <alignment horizontal="center"/>
      <protection locked="0"/>
    </xf>
    <xf numFmtId="2" fontId="0" fillId="37" borderId="75" xfId="61" applyNumberFormat="1" applyFill="1" applyBorder="1" applyAlignment="1" applyProtection="1">
      <alignment horizontal="center"/>
      <protection locked="0"/>
    </xf>
    <xf numFmtId="0" fontId="0" fillId="38" borderId="73" xfId="61" applyFill="1" applyBorder="1" applyProtection="1">
      <alignment/>
      <protection locked="0"/>
    </xf>
    <xf numFmtId="0" fontId="0" fillId="38" borderId="74" xfId="61" applyFill="1" applyBorder="1" applyProtection="1">
      <alignment/>
      <protection locked="0"/>
    </xf>
    <xf numFmtId="0" fontId="0" fillId="38" borderId="75" xfId="61" applyFill="1" applyBorder="1" applyProtection="1">
      <alignment/>
      <protection locked="0"/>
    </xf>
    <xf numFmtId="0" fontId="7" fillId="0" borderId="0" xfId="61" applyFont="1" applyProtection="1">
      <alignment/>
      <protection/>
    </xf>
    <xf numFmtId="0" fontId="7" fillId="0" borderId="51" xfId="61" applyFont="1" applyBorder="1" applyProtection="1">
      <alignment/>
      <protection/>
    </xf>
    <xf numFmtId="0" fontId="8" fillId="0" borderId="13" xfId="61" applyFont="1" applyBorder="1" applyAlignment="1" applyProtection="1">
      <alignment horizontal="center" vertical="center" wrapText="1"/>
      <protection/>
    </xf>
    <xf numFmtId="0" fontId="8" fillId="0" borderId="13" xfId="61" applyNumberFormat="1" applyFont="1" applyBorder="1" applyAlignment="1" applyProtection="1">
      <alignment horizontal="center" vertical="center" wrapText="1"/>
      <protection/>
    </xf>
    <xf numFmtId="0" fontId="8" fillId="0" borderId="18" xfId="61" applyFont="1" applyBorder="1" applyAlignment="1" applyProtection="1">
      <alignment horizontal="center" vertical="center" wrapText="1"/>
      <protection/>
    </xf>
    <xf numFmtId="0" fontId="8" fillId="0" borderId="36" xfId="61" applyFont="1" applyBorder="1" applyAlignment="1" applyProtection="1">
      <alignment horizontal="center" vertical="center" wrapText="1"/>
      <protection/>
    </xf>
    <xf numFmtId="0" fontId="8" fillId="0" borderId="37" xfId="61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61" applyFont="1" applyProtection="1">
      <alignment/>
      <protection/>
    </xf>
    <xf numFmtId="0" fontId="0" fillId="0" borderId="22" xfId="59" applyFont="1" applyBorder="1" applyProtection="1">
      <alignment/>
      <protection/>
    </xf>
    <xf numFmtId="0" fontId="0" fillId="0" borderId="67" xfId="59" applyFont="1" applyBorder="1" applyProtection="1">
      <alignment/>
      <protection/>
    </xf>
    <xf numFmtId="0" fontId="0" fillId="0" borderId="26" xfId="59" applyFont="1" applyBorder="1" applyProtection="1">
      <alignment/>
      <protection/>
    </xf>
    <xf numFmtId="1" fontId="30" fillId="36" borderId="63" xfId="59" applyNumberFormat="1" applyFont="1" applyFill="1" applyBorder="1" applyAlignment="1" applyProtection="1">
      <alignment horizontal="center"/>
      <protection locked="0"/>
    </xf>
    <xf numFmtId="1" fontId="30" fillId="36" borderId="21" xfId="59" applyNumberFormat="1" applyFont="1" applyFill="1" applyBorder="1" applyAlignment="1" applyProtection="1">
      <alignment horizontal="center"/>
      <protection locked="0"/>
    </xf>
    <xf numFmtId="1" fontId="30" fillId="36" borderId="64" xfId="59" applyNumberFormat="1" applyFont="1" applyFill="1" applyBorder="1" applyAlignment="1" applyProtection="1">
      <alignment horizontal="center"/>
      <protection locked="0"/>
    </xf>
    <xf numFmtId="1" fontId="30" fillId="36" borderId="36" xfId="59" applyNumberFormat="1" applyFont="1" applyFill="1" applyBorder="1" applyAlignment="1" applyProtection="1">
      <alignment horizontal="center"/>
      <protection locked="0"/>
    </xf>
    <xf numFmtId="1" fontId="30" fillId="36" borderId="14" xfId="59" applyNumberFormat="1" applyFont="1" applyFill="1" applyBorder="1" applyAlignment="1" applyProtection="1">
      <alignment horizontal="center"/>
      <protection locked="0"/>
    </xf>
    <xf numFmtId="1" fontId="30" fillId="36" borderId="47" xfId="59" applyNumberFormat="1" applyFont="1" applyFill="1" applyBorder="1" applyAlignment="1" applyProtection="1">
      <alignment horizontal="center"/>
      <protection locked="0"/>
    </xf>
    <xf numFmtId="0" fontId="0" fillId="0" borderId="29" xfId="59" applyFont="1" applyBorder="1" applyProtection="1">
      <alignment/>
      <protection/>
    </xf>
    <xf numFmtId="1" fontId="30" fillId="36" borderId="38" xfId="59" applyNumberFormat="1" applyFont="1" applyFill="1" applyBorder="1" applyAlignment="1" applyProtection="1">
      <alignment horizontal="center"/>
      <protection locked="0"/>
    </xf>
    <xf numFmtId="1" fontId="30" fillId="36" borderId="39" xfId="59" applyNumberFormat="1" applyFont="1" applyFill="1" applyBorder="1" applyAlignment="1" applyProtection="1">
      <alignment horizontal="center"/>
      <protection locked="0"/>
    </xf>
    <xf numFmtId="1" fontId="30" fillId="36" borderId="40" xfId="59" applyNumberFormat="1" applyFont="1" applyFill="1" applyBorder="1" applyAlignment="1" applyProtection="1">
      <alignment horizontal="center"/>
      <protection locked="0"/>
    </xf>
    <xf numFmtId="1" fontId="30" fillId="36" borderId="37" xfId="59" applyNumberFormat="1" applyFont="1" applyFill="1" applyBorder="1" applyAlignment="1" applyProtection="1">
      <alignment horizontal="center"/>
      <protection locked="0"/>
    </xf>
    <xf numFmtId="1" fontId="30" fillId="36" borderId="44" xfId="59" applyNumberFormat="1" applyFont="1" applyFill="1" applyBorder="1" applyAlignment="1" applyProtection="1">
      <alignment horizontal="center"/>
      <protection locked="0"/>
    </xf>
    <xf numFmtId="0" fontId="2" fillId="0" borderId="22" xfId="61" applyFont="1" applyBorder="1" applyProtection="1">
      <alignment/>
      <protection/>
    </xf>
    <xf numFmtId="0" fontId="33" fillId="0" borderId="0" xfId="0" applyFont="1" applyAlignment="1" applyProtection="1">
      <alignment/>
      <protection/>
    </xf>
    <xf numFmtId="0" fontId="2" fillId="0" borderId="67" xfId="61" applyFont="1" applyBorder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0" fillId="0" borderId="26" xfId="61" applyFont="1" applyBorder="1" applyAlignment="1" applyProtection="1">
      <alignment horizontal="left" wrapText="1" indent="2"/>
      <protection/>
    </xf>
    <xf numFmtId="0" fontId="34" fillId="0" borderId="0" xfId="0" applyFont="1" applyAlignment="1" applyProtection="1">
      <alignment/>
      <protection/>
    </xf>
    <xf numFmtId="0" fontId="10" fillId="0" borderId="0" xfId="67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/>
      <protection/>
    </xf>
    <xf numFmtId="0" fontId="5" fillId="0" borderId="0" xfId="67" applyFont="1" applyFill="1" applyBorder="1" applyAlignment="1" applyProtection="1">
      <alignment horizontal="left" vertical="center"/>
      <protection/>
    </xf>
    <xf numFmtId="0" fontId="5" fillId="0" borderId="0" xfId="59" applyFont="1" applyProtection="1">
      <alignment/>
      <protection/>
    </xf>
    <xf numFmtId="0" fontId="10" fillId="0" borderId="22" xfId="63" applyFont="1" applyFill="1" applyBorder="1" applyAlignment="1" applyProtection="1">
      <alignment vertical="center"/>
      <protection/>
    </xf>
    <xf numFmtId="0" fontId="10" fillId="0" borderId="28" xfId="63" applyFont="1" applyFill="1" applyBorder="1" applyAlignment="1" applyProtection="1">
      <alignment vertical="center"/>
      <protection/>
    </xf>
    <xf numFmtId="1" fontId="10" fillId="0" borderId="57" xfId="59" applyNumberFormat="1" applyFont="1" applyBorder="1" applyAlignment="1" applyProtection="1">
      <alignment horizontal="centerContinuous"/>
      <protection/>
    </xf>
    <xf numFmtId="1" fontId="10" fillId="0" borderId="58" xfId="59" applyNumberFormat="1" applyFont="1" applyBorder="1" applyAlignment="1" applyProtection="1">
      <alignment horizontal="centerContinuous"/>
      <protection/>
    </xf>
    <xf numFmtId="1" fontId="10" fillId="0" borderId="59" xfId="59" applyNumberFormat="1" applyFont="1" applyBorder="1" applyAlignment="1" applyProtection="1">
      <alignment horizontal="centerContinuous"/>
      <protection/>
    </xf>
    <xf numFmtId="0" fontId="10" fillId="0" borderId="26" xfId="63" applyFont="1" applyFill="1" applyBorder="1" applyAlignment="1" applyProtection="1">
      <alignment vertical="center"/>
      <protection/>
    </xf>
    <xf numFmtId="0" fontId="10" fillId="0" borderId="31" xfId="63" applyFont="1" applyFill="1" applyBorder="1" applyAlignment="1" applyProtection="1">
      <alignment vertical="center"/>
      <protection/>
    </xf>
    <xf numFmtId="0" fontId="10" fillId="0" borderId="36" xfId="67" applyFont="1" applyFill="1" applyBorder="1" applyAlignment="1" applyProtection="1">
      <alignment horizontal="center" vertical="center"/>
      <protection/>
    </xf>
    <xf numFmtId="0" fontId="10" fillId="0" borderId="13" xfId="67" applyFont="1" applyFill="1" applyBorder="1" applyAlignment="1" applyProtection="1">
      <alignment horizontal="center" vertical="center"/>
      <protection/>
    </xf>
    <xf numFmtId="0" fontId="10" fillId="0" borderId="37" xfId="67" applyFont="1" applyFill="1" applyBorder="1" applyAlignment="1" applyProtection="1">
      <alignment horizontal="center" vertical="center"/>
      <protection/>
    </xf>
    <xf numFmtId="0" fontId="36" fillId="0" borderId="67" xfId="63" applyFont="1" applyBorder="1" applyAlignment="1" applyProtection="1">
      <alignment vertical="center"/>
      <protection/>
    </xf>
    <xf numFmtId="0" fontId="37" fillId="0" borderId="68" xfId="63" applyFont="1" applyFill="1" applyBorder="1" applyAlignment="1" applyProtection="1">
      <alignment horizontal="centerContinuous" vertical="center"/>
      <protection/>
    </xf>
    <xf numFmtId="0" fontId="10" fillId="0" borderId="14" xfId="67" applyFont="1" applyFill="1" applyBorder="1" applyAlignment="1" applyProtection="1">
      <alignment horizontal="center" vertical="center"/>
      <protection/>
    </xf>
    <xf numFmtId="0" fontId="11" fillId="0" borderId="64" xfId="63" applyFont="1" applyFill="1" applyBorder="1" applyAlignment="1" applyProtection="1">
      <alignment/>
      <protection/>
    </xf>
    <xf numFmtId="183" fontId="38" fillId="0" borderId="63" xfId="67" applyNumberFormat="1" applyFont="1" applyFill="1" applyBorder="1" applyAlignment="1" applyProtection="1">
      <alignment horizontal="center" vertical="center"/>
      <protection/>
    </xf>
    <xf numFmtId="183" fontId="38" fillId="0" borderId="12" xfId="67" applyNumberFormat="1" applyFont="1" applyFill="1" applyBorder="1" applyAlignment="1" applyProtection="1">
      <alignment horizontal="center" vertical="center"/>
      <protection/>
    </xf>
    <xf numFmtId="183" fontId="38" fillId="0" borderId="64" xfId="67" applyNumberFormat="1" applyFont="1" applyFill="1" applyBorder="1" applyAlignment="1" applyProtection="1">
      <alignment horizontal="center" vertical="center"/>
      <protection/>
    </xf>
    <xf numFmtId="0" fontId="11" fillId="0" borderId="37" xfId="63" applyFont="1" applyFill="1" applyBorder="1" applyAlignment="1" applyProtection="1">
      <alignment/>
      <protection/>
    </xf>
    <xf numFmtId="183" fontId="38" fillId="0" borderId="36" xfId="67" applyNumberFormat="1" applyFont="1" applyFill="1" applyBorder="1" applyAlignment="1" applyProtection="1">
      <alignment horizontal="center" vertical="center"/>
      <protection/>
    </xf>
    <xf numFmtId="183" fontId="38" fillId="0" borderId="13" xfId="67" applyNumberFormat="1" applyFont="1" applyFill="1" applyBorder="1" applyAlignment="1" applyProtection="1">
      <alignment horizontal="center" vertical="center"/>
      <protection/>
    </xf>
    <xf numFmtId="183" fontId="38" fillId="0" borderId="37" xfId="67" applyNumberFormat="1" applyFont="1" applyFill="1" applyBorder="1" applyAlignment="1" applyProtection="1">
      <alignment horizontal="center" vertical="center"/>
      <protection/>
    </xf>
    <xf numFmtId="0" fontId="11" fillId="0" borderId="37" xfId="63" applyFont="1" applyBorder="1" applyAlignment="1" applyProtection="1">
      <alignment/>
      <protection/>
    </xf>
    <xf numFmtId="0" fontId="11" fillId="0" borderId="37" xfId="63" applyFont="1" applyBorder="1" applyAlignment="1" applyProtection="1">
      <alignment vertical="center"/>
      <protection/>
    </xf>
    <xf numFmtId="0" fontId="11" fillId="0" borderId="37" xfId="63" applyFont="1" applyFill="1" applyBorder="1" applyAlignment="1" applyProtection="1">
      <alignment vertical="center"/>
      <protection/>
    </xf>
    <xf numFmtId="0" fontId="10" fillId="0" borderId="73" xfId="63" applyFont="1" applyBorder="1" applyAlignment="1" applyProtection="1">
      <alignment/>
      <protection/>
    </xf>
    <xf numFmtId="0" fontId="10" fillId="0" borderId="75" xfId="63" applyFont="1" applyBorder="1" applyAlignment="1" applyProtection="1">
      <alignment/>
      <protection/>
    </xf>
    <xf numFmtId="183" fontId="39" fillId="37" borderId="38" xfId="67" applyNumberFormat="1" applyFont="1" applyFill="1" applyBorder="1" applyAlignment="1" applyProtection="1">
      <alignment horizontal="center" vertical="center"/>
      <protection/>
    </xf>
    <xf numFmtId="183" fontId="39" fillId="37" borderId="39" xfId="67" applyNumberFormat="1" applyFont="1" applyFill="1" applyBorder="1" applyAlignment="1" applyProtection="1">
      <alignment horizontal="center" vertical="center"/>
      <protection/>
    </xf>
    <xf numFmtId="183" fontId="39" fillId="37" borderId="40" xfId="67" applyNumberFormat="1" applyFont="1" applyFill="1" applyBorder="1" applyAlignment="1" applyProtection="1">
      <alignment horizontal="center" vertical="center"/>
      <protection/>
    </xf>
    <xf numFmtId="0" fontId="10" fillId="0" borderId="0" xfId="63" applyFont="1" applyBorder="1" applyAlignment="1" applyProtection="1">
      <alignment/>
      <protection/>
    </xf>
    <xf numFmtId="0" fontId="38" fillId="0" borderId="0" xfId="67" applyFont="1" applyFill="1" applyBorder="1" applyAlignment="1" applyProtection="1">
      <alignment horizontal="center" vertical="center"/>
      <protection/>
    </xf>
    <xf numFmtId="1" fontId="5" fillId="0" borderId="0" xfId="59" applyNumberFormat="1" applyFont="1" applyProtection="1">
      <alignment/>
      <protection/>
    </xf>
    <xf numFmtId="183" fontId="16" fillId="36" borderId="21" xfId="67" applyNumberFormat="1" applyFont="1" applyFill="1" applyBorder="1" applyAlignment="1" applyProtection="1">
      <alignment horizontal="center" vertical="center"/>
      <protection locked="0"/>
    </xf>
    <xf numFmtId="183" fontId="16" fillId="36" borderId="68" xfId="67" applyNumberFormat="1" applyFont="1" applyFill="1" applyBorder="1" applyAlignment="1" applyProtection="1">
      <alignment horizontal="center" vertical="center"/>
      <protection locked="0"/>
    </xf>
    <xf numFmtId="183" fontId="16" fillId="36" borderId="63" xfId="67" applyNumberFormat="1" applyFont="1" applyFill="1" applyBorder="1" applyAlignment="1" applyProtection="1">
      <alignment horizontal="center" vertical="center"/>
      <protection locked="0"/>
    </xf>
    <xf numFmtId="183" fontId="16" fillId="36" borderId="12" xfId="67" applyNumberFormat="1" applyFont="1" applyFill="1" applyBorder="1" applyAlignment="1" applyProtection="1">
      <alignment horizontal="center" vertical="center"/>
      <protection locked="0"/>
    </xf>
    <xf numFmtId="183" fontId="16" fillId="36" borderId="64" xfId="67" applyNumberFormat="1" applyFont="1" applyFill="1" applyBorder="1" applyAlignment="1" applyProtection="1">
      <alignment horizontal="center" vertical="center"/>
      <protection locked="0"/>
    </xf>
    <xf numFmtId="183" fontId="16" fillId="36" borderId="14" xfId="67" applyNumberFormat="1" applyFont="1" applyFill="1" applyBorder="1" applyAlignment="1" applyProtection="1">
      <alignment horizontal="center" vertical="center"/>
      <protection locked="0"/>
    </xf>
    <xf numFmtId="183" fontId="16" fillId="36" borderId="47" xfId="67" applyNumberFormat="1" applyFont="1" applyFill="1" applyBorder="1" applyAlignment="1" applyProtection="1">
      <alignment horizontal="center" vertical="center"/>
      <protection locked="0"/>
    </xf>
    <xf numFmtId="183" fontId="16" fillId="36" borderId="36" xfId="67" applyNumberFormat="1" applyFont="1" applyFill="1" applyBorder="1" applyAlignment="1" applyProtection="1">
      <alignment horizontal="center" vertical="center"/>
      <protection locked="0"/>
    </xf>
    <xf numFmtId="183" fontId="16" fillId="36" borderId="13" xfId="67" applyNumberFormat="1" applyFont="1" applyFill="1" applyBorder="1" applyAlignment="1" applyProtection="1">
      <alignment horizontal="center" vertical="center"/>
      <protection locked="0"/>
    </xf>
    <xf numFmtId="183" fontId="16" fillId="36" borderId="37" xfId="67" applyNumberFormat="1" applyFont="1" applyFill="1" applyBorder="1" applyAlignment="1" applyProtection="1">
      <alignment horizontal="center" vertical="center"/>
      <protection locked="0"/>
    </xf>
    <xf numFmtId="183" fontId="5" fillId="0" borderId="14" xfId="67" applyNumberFormat="1" applyFont="1" applyFill="1" applyBorder="1" applyAlignment="1" applyProtection="1">
      <alignment horizontal="center" vertical="center"/>
      <protection/>
    </xf>
    <xf numFmtId="183" fontId="5" fillId="0" borderId="13" xfId="67" applyNumberFormat="1" applyFont="1" applyFill="1" applyBorder="1" applyAlignment="1" applyProtection="1">
      <alignment horizontal="center" vertical="center"/>
      <protection/>
    </xf>
    <xf numFmtId="183" fontId="5" fillId="0" borderId="37" xfId="67" applyNumberFormat="1" applyFont="1" applyFill="1" applyBorder="1" applyAlignment="1" applyProtection="1">
      <alignment horizontal="center" vertical="center"/>
      <protection/>
    </xf>
    <xf numFmtId="183" fontId="5" fillId="0" borderId="36" xfId="67" applyNumberFormat="1" applyFont="1" applyFill="1" applyBorder="1" applyAlignment="1" applyProtection="1">
      <alignment horizontal="center" vertical="center"/>
      <protection/>
    </xf>
    <xf numFmtId="0" fontId="5" fillId="0" borderId="0" xfId="67" applyFont="1" applyFill="1" applyBorder="1" applyAlignment="1" applyProtection="1">
      <alignment horizontal="left" vertical="center"/>
      <protection locked="0"/>
    </xf>
    <xf numFmtId="0" fontId="11" fillId="0" borderId="72" xfId="63" applyFont="1" applyBorder="1" applyAlignment="1" applyProtection="1">
      <alignment vertical="center"/>
      <protection/>
    </xf>
    <xf numFmtId="183" fontId="16" fillId="36" borderId="19" xfId="67" applyNumberFormat="1" applyFont="1" applyFill="1" applyBorder="1" applyAlignment="1" applyProtection="1">
      <alignment horizontal="center" vertical="center"/>
      <protection locked="0"/>
    </xf>
    <xf numFmtId="183" fontId="16" fillId="36" borderId="10" xfId="67" applyNumberFormat="1" applyFont="1" applyFill="1" applyBorder="1" applyAlignment="1" applyProtection="1">
      <alignment horizontal="center" vertical="center"/>
      <protection locked="0"/>
    </xf>
    <xf numFmtId="183" fontId="16" fillId="36" borderId="72" xfId="67" applyNumberFormat="1" applyFont="1" applyFill="1" applyBorder="1" applyAlignment="1" applyProtection="1">
      <alignment horizontal="center" vertical="center"/>
      <protection locked="0"/>
    </xf>
    <xf numFmtId="183" fontId="16" fillId="36" borderId="71" xfId="67" applyNumberFormat="1" applyFont="1" applyFill="1" applyBorder="1" applyAlignment="1" applyProtection="1">
      <alignment horizontal="center" vertical="center"/>
      <protection locked="0"/>
    </xf>
    <xf numFmtId="0" fontId="10" fillId="0" borderId="33" xfId="63" applyFont="1" applyBorder="1" applyAlignment="1" applyProtection="1">
      <alignment/>
      <protection/>
    </xf>
    <xf numFmtId="0" fontId="10" fillId="0" borderId="35" xfId="63" applyFont="1" applyBorder="1" applyAlignment="1" applyProtection="1">
      <alignment/>
      <protection/>
    </xf>
    <xf numFmtId="183" fontId="10" fillId="37" borderId="76" xfId="67" applyNumberFormat="1" applyFont="1" applyFill="1" applyBorder="1" applyAlignment="1" applyProtection="1">
      <alignment horizontal="center" vertical="center"/>
      <protection/>
    </xf>
    <xf numFmtId="183" fontId="10" fillId="37" borderId="77" xfId="67" applyNumberFormat="1" applyFont="1" applyFill="1" applyBorder="1" applyAlignment="1" applyProtection="1">
      <alignment horizontal="center" vertical="center"/>
      <protection/>
    </xf>
    <xf numFmtId="183" fontId="10" fillId="37" borderId="78" xfId="67" applyNumberFormat="1" applyFont="1" applyFill="1" applyBorder="1" applyAlignment="1" applyProtection="1">
      <alignment horizontal="center" vertical="center"/>
      <protection/>
    </xf>
    <xf numFmtId="183" fontId="10" fillId="37" borderId="79" xfId="67" applyNumberFormat="1" applyFont="1" applyFill="1" applyBorder="1" applyAlignment="1" applyProtection="1">
      <alignment horizontal="center" vertical="center"/>
      <protection/>
    </xf>
    <xf numFmtId="183" fontId="10" fillId="37" borderId="44" xfId="67" applyNumberFormat="1" applyFont="1" applyFill="1" applyBorder="1" applyAlignment="1" applyProtection="1">
      <alignment horizontal="center" vertical="center"/>
      <protection/>
    </xf>
    <xf numFmtId="183" fontId="10" fillId="37" borderId="39" xfId="67" applyNumberFormat="1" applyFont="1" applyFill="1" applyBorder="1" applyAlignment="1" applyProtection="1">
      <alignment horizontal="center" vertical="center"/>
      <protection/>
    </xf>
    <xf numFmtId="183" fontId="10" fillId="37" borderId="40" xfId="67" applyNumberFormat="1" applyFont="1" applyFill="1" applyBorder="1" applyAlignment="1" applyProtection="1">
      <alignment horizontal="center" vertical="center"/>
      <protection/>
    </xf>
    <xf numFmtId="183" fontId="10" fillId="37" borderId="38" xfId="67" applyNumberFormat="1" applyFont="1" applyFill="1" applyBorder="1" applyAlignment="1" applyProtection="1">
      <alignment horizontal="center" vertical="center"/>
      <protection/>
    </xf>
    <xf numFmtId="0" fontId="5" fillId="0" borderId="37" xfId="67" applyFont="1" applyFill="1" applyBorder="1" applyAlignment="1" applyProtection="1">
      <alignment horizontal="left" vertical="center"/>
      <protection/>
    </xf>
    <xf numFmtId="1" fontId="5" fillId="0" borderId="37" xfId="59" applyNumberFormat="1" applyFont="1" applyBorder="1" applyProtection="1">
      <alignment/>
      <protection/>
    </xf>
    <xf numFmtId="183" fontId="5" fillId="37" borderId="14" xfId="67" applyNumberFormat="1" applyFont="1" applyFill="1" applyBorder="1" applyAlignment="1" applyProtection="1">
      <alignment horizontal="center" vertical="center"/>
      <protection/>
    </xf>
    <xf numFmtId="183" fontId="5" fillId="37" borderId="47" xfId="67" applyNumberFormat="1" applyFont="1" applyFill="1" applyBorder="1" applyAlignment="1" applyProtection="1">
      <alignment horizontal="center" vertical="center"/>
      <protection/>
    </xf>
    <xf numFmtId="183" fontId="5" fillId="37" borderId="36" xfId="67" applyNumberFormat="1" applyFont="1" applyFill="1" applyBorder="1" applyAlignment="1" applyProtection="1">
      <alignment horizontal="center" vertical="center"/>
      <protection/>
    </xf>
    <xf numFmtId="1" fontId="5" fillId="0" borderId="37" xfId="59" applyNumberFormat="1" applyFont="1" applyBorder="1" applyAlignment="1" applyProtection="1">
      <alignment/>
      <protection/>
    </xf>
    <xf numFmtId="0" fontId="10" fillId="0" borderId="36" xfId="67" applyFont="1" applyFill="1" applyBorder="1" applyAlignment="1" applyProtection="1">
      <alignment vertical="center"/>
      <protection/>
    </xf>
    <xf numFmtId="0" fontId="23" fillId="0" borderId="38" xfId="0" applyFont="1" applyBorder="1" applyAlignment="1" applyProtection="1">
      <alignment vertical="center"/>
      <protection/>
    </xf>
    <xf numFmtId="1" fontId="5" fillId="0" borderId="40" xfId="59" applyNumberFormat="1" applyFont="1" applyBorder="1" applyProtection="1">
      <alignment/>
      <protection/>
    </xf>
    <xf numFmtId="183" fontId="5" fillId="37" borderId="44" xfId="67" applyNumberFormat="1" applyFont="1" applyFill="1" applyBorder="1" applyAlignment="1" applyProtection="1">
      <alignment horizontal="center" vertical="center"/>
      <protection/>
    </xf>
    <xf numFmtId="183" fontId="5" fillId="37" borderId="75" xfId="67" applyNumberFormat="1" applyFont="1" applyFill="1" applyBorder="1" applyAlignment="1" applyProtection="1">
      <alignment horizontal="center" vertical="center"/>
      <protection/>
    </xf>
    <xf numFmtId="183" fontId="5" fillId="37" borderId="38" xfId="67" applyNumberFormat="1" applyFont="1" applyFill="1" applyBorder="1" applyAlignment="1" applyProtection="1">
      <alignment horizontal="center" vertical="center"/>
      <protection/>
    </xf>
    <xf numFmtId="1" fontId="0" fillId="0" borderId="22" xfId="64" applyNumberFormat="1" applyFont="1" applyBorder="1" applyAlignment="1" applyProtection="1">
      <alignment wrapText="1"/>
      <protection/>
    </xf>
    <xf numFmtId="1" fontId="2" fillId="0" borderId="23" xfId="64" applyNumberFormat="1" applyFont="1" applyBorder="1" applyAlignment="1" applyProtection="1">
      <alignment wrapText="1"/>
      <protection/>
    </xf>
    <xf numFmtId="1" fontId="2" fillId="0" borderId="56" xfId="64" applyNumberFormat="1" applyFont="1" applyBorder="1" applyAlignment="1" applyProtection="1">
      <alignment horizontal="center" wrapText="1"/>
      <protection/>
    </xf>
    <xf numFmtId="1" fontId="2" fillId="0" borderId="57" xfId="64" applyNumberFormat="1" applyFont="1" applyBorder="1" applyAlignment="1" applyProtection="1">
      <alignment horizontal="centerContinuous" wrapText="1"/>
      <protection/>
    </xf>
    <xf numFmtId="0" fontId="33" fillId="0" borderId="59" xfId="0" applyFont="1" applyBorder="1" applyAlignment="1" applyProtection="1">
      <alignment horizontal="centerContinuous"/>
      <protection/>
    </xf>
    <xf numFmtId="1" fontId="2" fillId="0" borderId="26" xfId="64" applyNumberFormat="1" applyFont="1" applyBorder="1" applyAlignment="1" applyProtection="1">
      <alignment wrapText="1"/>
      <protection/>
    </xf>
    <xf numFmtId="1" fontId="2" fillId="0" borderId="0" xfId="64" applyNumberFormat="1" applyFont="1" applyBorder="1" applyAlignment="1" applyProtection="1">
      <alignment wrapText="1"/>
      <protection/>
    </xf>
    <xf numFmtId="1" fontId="2" fillId="0" borderId="65" xfId="64" applyNumberFormat="1" applyFont="1" applyBorder="1" applyAlignment="1" applyProtection="1">
      <alignment wrapText="1"/>
      <protection/>
    </xf>
    <xf numFmtId="1" fontId="2" fillId="0" borderId="71" xfId="64" applyNumberFormat="1" applyFont="1" applyBorder="1" applyAlignment="1" applyProtection="1">
      <alignment horizontal="center" vertical="center" wrapText="1"/>
      <protection/>
    </xf>
    <xf numFmtId="1" fontId="2" fillId="0" borderId="72" xfId="64" applyNumberFormat="1" applyFont="1" applyBorder="1" applyAlignment="1" applyProtection="1">
      <alignment horizontal="center" vertical="center" wrapText="1"/>
      <protection/>
    </xf>
    <xf numFmtId="1" fontId="2" fillId="0" borderId="29" xfId="64" applyNumberFormat="1" applyFont="1" applyBorder="1" applyProtection="1">
      <alignment/>
      <protection/>
    </xf>
    <xf numFmtId="1" fontId="2" fillId="0" borderId="30" xfId="64" applyNumberFormat="1" applyFont="1" applyBorder="1" applyProtection="1">
      <alignment/>
      <protection/>
    </xf>
    <xf numFmtId="1" fontId="2" fillId="0" borderId="66" xfId="64" applyNumberFormat="1" applyFont="1" applyBorder="1" applyProtection="1">
      <alignment/>
      <protection/>
    </xf>
    <xf numFmtId="1" fontId="2" fillId="0" borderId="52" xfId="64" applyNumberFormat="1" applyFont="1" applyBorder="1" applyAlignment="1" applyProtection="1">
      <alignment horizontal="center"/>
      <protection/>
    </xf>
    <xf numFmtId="1" fontId="2" fillId="0" borderId="66" xfId="64" applyNumberFormat="1" applyFont="1" applyBorder="1" applyAlignment="1" applyProtection="1">
      <alignment horizontal="center"/>
      <protection/>
    </xf>
    <xf numFmtId="1" fontId="0" fillId="0" borderId="26" xfId="64" applyNumberFormat="1" applyFont="1" applyFill="1" applyBorder="1" applyProtection="1">
      <alignment/>
      <protection/>
    </xf>
    <xf numFmtId="0" fontId="2" fillId="0" borderId="0" xfId="64" applyFont="1" applyBorder="1" applyAlignment="1" applyProtection="1">
      <alignment/>
      <protection/>
    </xf>
    <xf numFmtId="0" fontId="0" fillId="0" borderId="0" xfId="64" applyFont="1" applyBorder="1" applyProtection="1">
      <alignment/>
      <protection/>
    </xf>
    <xf numFmtId="1" fontId="0" fillId="0" borderId="56" xfId="65" applyNumberFormat="1" applyFont="1" applyFill="1" applyBorder="1" applyAlignment="1" applyProtection="1">
      <alignment horizontal="center"/>
      <protection/>
    </xf>
    <xf numFmtId="0" fontId="2" fillId="0" borderId="0" xfId="64" applyFont="1" applyBorder="1" applyProtection="1">
      <alignment/>
      <protection/>
    </xf>
    <xf numFmtId="1" fontId="0" fillId="0" borderId="65" xfId="65" applyNumberFormat="1" applyFont="1" applyBorder="1" applyProtection="1">
      <alignment/>
      <protection/>
    </xf>
    <xf numFmtId="0" fontId="0" fillId="0" borderId="26" xfId="64" applyFont="1" applyBorder="1" applyProtection="1">
      <alignment/>
      <protection/>
    </xf>
    <xf numFmtId="0" fontId="0" fillId="0" borderId="65" xfId="65" applyFont="1" applyBorder="1" applyAlignment="1" applyProtection="1">
      <alignment horizontal="center"/>
      <protection/>
    </xf>
    <xf numFmtId="2" fontId="30" fillId="36" borderId="51" xfId="0" applyNumberFormat="1" applyFont="1" applyFill="1" applyBorder="1" applyAlignment="1" applyProtection="1">
      <alignment horizontal="center" vertical="center"/>
      <protection locked="0"/>
    </xf>
    <xf numFmtId="2" fontId="30" fillId="36" borderId="65" xfId="0" applyNumberFormat="1" applyFont="1" applyFill="1" applyBorder="1" applyAlignment="1" applyProtection="1">
      <alignment horizontal="center" vertical="center"/>
      <protection locked="0"/>
    </xf>
    <xf numFmtId="184" fontId="30" fillId="0" borderId="66" xfId="65" applyNumberFormat="1" applyFont="1" applyFill="1" applyBorder="1" applyProtection="1">
      <alignment/>
      <protection/>
    </xf>
    <xf numFmtId="0" fontId="0" fillId="0" borderId="22" xfId="64" applyFont="1" applyBorder="1" applyProtection="1">
      <alignment/>
      <protection/>
    </xf>
    <xf numFmtId="0" fontId="2" fillId="0" borderId="23" xfId="64" applyFont="1" applyBorder="1" applyAlignment="1" applyProtection="1">
      <alignment/>
      <protection/>
    </xf>
    <xf numFmtId="0" fontId="0" fillId="0" borderId="0" xfId="62" applyFont="1" applyAlignment="1" applyProtection="1">
      <alignment/>
      <protection/>
    </xf>
    <xf numFmtId="0" fontId="0" fillId="0" borderId="65" xfId="65" applyFont="1" applyFill="1" applyBorder="1" applyAlignment="1" applyProtection="1">
      <alignment horizontal="center"/>
      <protection/>
    </xf>
    <xf numFmtId="1" fontId="0" fillId="0" borderId="22" xfId="64" applyNumberFormat="1" applyFont="1" applyFill="1" applyBorder="1" applyProtection="1">
      <alignment/>
      <protection/>
    </xf>
    <xf numFmtId="0" fontId="2" fillId="0" borderId="23" xfId="64" applyFont="1" applyBorder="1" applyProtection="1">
      <alignment/>
      <protection/>
    </xf>
    <xf numFmtId="0" fontId="0" fillId="0" borderId="23" xfId="64" applyFont="1" applyBorder="1" applyProtection="1">
      <alignment/>
      <protection/>
    </xf>
    <xf numFmtId="0" fontId="0" fillId="0" borderId="56" xfId="65" applyFont="1" applyBorder="1" applyAlignment="1" applyProtection="1">
      <alignment horizontal="center"/>
      <protection/>
    </xf>
    <xf numFmtId="2" fontId="30" fillId="0" borderId="51" xfId="0" applyNumberFormat="1" applyFont="1" applyFill="1" applyBorder="1" applyAlignment="1" applyProtection="1">
      <alignment horizontal="center" vertical="center"/>
      <protection/>
    </xf>
    <xf numFmtId="2" fontId="30" fillId="0" borderId="65" xfId="0" applyNumberFormat="1" applyFont="1" applyFill="1" applyBorder="1" applyAlignment="1" applyProtection="1">
      <alignment horizontal="center" vertical="center"/>
      <protection/>
    </xf>
    <xf numFmtId="0" fontId="0" fillId="0" borderId="0" xfId="64" applyFont="1" applyBorder="1" applyAlignment="1" applyProtection="1">
      <alignment horizontal="left" indent="1"/>
      <protection/>
    </xf>
    <xf numFmtId="0" fontId="0" fillId="0" borderId="29" xfId="64" applyFont="1" applyBorder="1" applyProtection="1">
      <alignment/>
      <protection/>
    </xf>
    <xf numFmtId="0" fontId="0" fillId="0" borderId="30" xfId="64" applyFont="1" applyBorder="1" applyProtection="1">
      <alignment/>
      <protection/>
    </xf>
    <xf numFmtId="0" fontId="2" fillId="0" borderId="30" xfId="64" applyFont="1" applyBorder="1" applyProtection="1">
      <alignment/>
      <protection/>
    </xf>
    <xf numFmtId="0" fontId="0" fillId="0" borderId="30" xfId="64" applyFont="1" applyBorder="1" applyAlignment="1" applyProtection="1">
      <alignment horizontal="left" indent="1"/>
      <protection/>
    </xf>
    <xf numFmtId="0" fontId="0" fillId="0" borderId="66" xfId="65" applyFont="1" applyBorder="1" applyAlignment="1" applyProtection="1">
      <alignment horizontal="center"/>
      <protection/>
    </xf>
    <xf numFmtId="2" fontId="30" fillId="36" borderId="52" xfId="0" applyNumberFormat="1" applyFont="1" applyFill="1" applyBorder="1" applyAlignment="1" applyProtection="1">
      <alignment horizontal="center" vertical="center"/>
      <protection locked="0"/>
    </xf>
    <xf numFmtId="2" fontId="30" fillId="36" borderId="66" xfId="0" applyNumberFormat="1" applyFont="1" applyFill="1" applyBorder="1" applyAlignment="1" applyProtection="1">
      <alignment horizontal="center" vertical="center"/>
      <protection locked="0"/>
    </xf>
    <xf numFmtId="0" fontId="12" fillId="0" borderId="24" xfId="68" applyFont="1" applyBorder="1">
      <alignment/>
      <protection/>
    </xf>
    <xf numFmtId="0" fontId="11" fillId="0" borderId="24" xfId="68" applyFont="1" applyBorder="1">
      <alignment/>
      <protection/>
    </xf>
    <xf numFmtId="0" fontId="11" fillId="0" borderId="19" xfId="68" applyFont="1" applyBorder="1">
      <alignment/>
      <protection/>
    </xf>
    <xf numFmtId="0" fontId="12" fillId="0" borderId="0" xfId="68" applyFont="1" applyBorder="1">
      <alignment/>
      <protection/>
    </xf>
    <xf numFmtId="0" fontId="11" fillId="0" borderId="0" xfId="68" applyFont="1" applyBorder="1">
      <alignment/>
      <protection/>
    </xf>
    <xf numFmtId="0" fontId="11" fillId="0" borderId="20" xfId="68" applyFont="1" applyBorder="1">
      <alignment/>
      <protection/>
    </xf>
    <xf numFmtId="0" fontId="12" fillId="0" borderId="20" xfId="68" applyFont="1" applyBorder="1" applyAlignment="1">
      <alignment horizontal="center" textRotation="90" wrapText="1"/>
      <protection/>
    </xf>
    <xf numFmtId="0" fontId="11" fillId="0" borderId="13" xfId="68" applyFont="1" applyBorder="1">
      <alignment/>
      <protection/>
    </xf>
    <xf numFmtId="0" fontId="11" fillId="0" borderId="13" xfId="68" applyFont="1" applyBorder="1" applyAlignment="1">
      <alignment horizontal="center"/>
      <protection/>
    </xf>
    <xf numFmtId="0" fontId="11" fillId="0" borderId="10" xfId="68" applyFont="1" applyBorder="1">
      <alignment/>
      <protection/>
    </xf>
    <xf numFmtId="0" fontId="11" fillId="0" borderId="10" xfId="68" applyFont="1" applyBorder="1" applyAlignment="1">
      <alignment horizontal="center"/>
      <protection/>
    </xf>
    <xf numFmtId="0" fontId="11" fillId="0" borderId="11" xfId="68" applyFont="1" applyBorder="1">
      <alignment/>
      <protection/>
    </xf>
    <xf numFmtId="212" fontId="11" fillId="0" borderId="11" xfId="68" applyNumberFormat="1" applyFont="1" applyBorder="1">
      <alignment/>
      <protection/>
    </xf>
    <xf numFmtId="37" fontId="11" fillId="0" borderId="20" xfId="68" applyNumberFormat="1" applyFont="1" applyBorder="1">
      <alignment/>
      <protection/>
    </xf>
    <xf numFmtId="213" fontId="11" fillId="17" borderId="12" xfId="68" applyNumberFormat="1" applyFont="1" applyFill="1" applyBorder="1">
      <alignment/>
      <protection/>
    </xf>
    <xf numFmtId="213" fontId="11" fillId="0" borderId="12" xfId="68" applyNumberFormat="1" applyFont="1" applyBorder="1">
      <alignment/>
      <protection/>
    </xf>
    <xf numFmtId="212" fontId="11" fillId="0" borderId="20" xfId="68" applyNumberFormat="1" applyFont="1" applyBorder="1">
      <alignment/>
      <protection/>
    </xf>
    <xf numFmtId="0" fontId="11" fillId="0" borderId="12" xfId="68" applyFont="1" applyBorder="1">
      <alignment/>
      <protection/>
    </xf>
    <xf numFmtId="212" fontId="11" fillId="0" borderId="12" xfId="68" applyNumberFormat="1" applyFont="1" applyBorder="1">
      <alignment/>
      <protection/>
    </xf>
    <xf numFmtId="212" fontId="11" fillId="0" borderId="0" xfId="68" applyNumberFormat="1" applyFont="1" applyBorder="1">
      <alignment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>
      <alignment horizontal="right"/>
    </xf>
    <xf numFmtId="37" fontId="12" fillId="0" borderId="0" xfId="0" applyNumberFormat="1" applyFont="1" applyFill="1" applyBorder="1" applyAlignment="1">
      <alignment/>
    </xf>
    <xf numFmtId="0" fontId="24" fillId="0" borderId="0" xfId="0" applyFont="1" applyBorder="1" applyAlignment="1" applyProtection="1">
      <alignment horizontal="center"/>
      <protection/>
    </xf>
    <xf numFmtId="0" fontId="11" fillId="0" borderId="27" xfId="68" applyFont="1" applyBorder="1">
      <alignment/>
      <protection/>
    </xf>
    <xf numFmtId="212" fontId="11" fillId="0" borderId="27" xfId="68" applyNumberFormat="1" applyFont="1" applyBorder="1">
      <alignment/>
      <protection/>
    </xf>
    <xf numFmtId="37" fontId="11" fillId="0" borderId="21" xfId="68" applyNumberFormat="1" applyFont="1" applyBorder="1">
      <alignment/>
      <protection/>
    </xf>
    <xf numFmtId="9" fontId="0" fillId="32" borderId="10" xfId="71" applyFont="1" applyFill="1" applyBorder="1" applyAlignment="1">
      <alignment/>
    </xf>
    <xf numFmtId="9" fontId="0" fillId="32" borderId="11" xfId="71" applyFont="1" applyFill="1" applyBorder="1" applyAlignment="1">
      <alignment/>
    </xf>
    <xf numFmtId="9" fontId="0" fillId="32" borderId="12" xfId="71" applyFont="1" applyFill="1" applyBorder="1" applyAlignment="1">
      <alignment/>
    </xf>
    <xf numFmtId="0" fontId="40" fillId="0" borderId="0" xfId="0" applyFont="1" applyAlignment="1">
      <alignment/>
    </xf>
    <xf numFmtId="0" fontId="41" fillId="0" borderId="13" xfId="68" applyFont="1" applyBorder="1" applyAlignment="1">
      <alignment wrapText="1"/>
      <protection/>
    </xf>
    <xf numFmtId="183" fontId="41" fillId="0" borderId="13" xfId="68" applyNumberFormat="1" applyFont="1" applyBorder="1" applyAlignment="1" applyProtection="1">
      <alignment horizontal="center" textRotation="90" wrapText="1"/>
      <protection/>
    </xf>
    <xf numFmtId="183" fontId="41" fillId="0" borderId="12" xfId="68" applyNumberFormat="1" applyFont="1" applyBorder="1" applyAlignment="1" applyProtection="1">
      <alignment horizontal="center" textRotation="90" wrapText="1"/>
      <protection/>
    </xf>
    <xf numFmtId="0" fontId="42" fillId="0" borderId="20" xfId="68" applyFont="1" applyBorder="1" applyAlignment="1">
      <alignment horizontal="center" textRotation="90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196" fontId="11" fillId="24" borderId="42" xfId="0" applyNumberFormat="1" applyFont="1" applyFill="1" applyBorder="1" applyAlignment="1" applyProtection="1">
      <alignment/>
      <protection/>
    </xf>
    <xf numFmtId="196" fontId="12" fillId="0" borderId="0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196" fontId="29" fillId="36" borderId="51" xfId="0" applyNumberFormat="1" applyFont="1" applyFill="1" applyBorder="1" applyAlignment="1" applyProtection="1">
      <alignment/>
      <protection locked="0"/>
    </xf>
    <xf numFmtId="196" fontId="29" fillId="36" borderId="11" xfId="0" applyNumberFormat="1" applyFont="1" applyFill="1" applyBorder="1" applyAlignment="1" applyProtection="1">
      <alignment/>
      <protection locked="0"/>
    </xf>
    <xf numFmtId="196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Alignment="1">
      <alignment/>
    </xf>
    <xf numFmtId="0" fontId="44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10" fillId="0" borderId="80" xfId="0" applyFont="1" applyFill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45" fillId="0" borderId="0" xfId="0" applyFont="1" applyBorder="1" applyAlignment="1">
      <alignment horizontal="left" vertical="center"/>
    </xf>
    <xf numFmtId="0" fontId="10" fillId="0" borderId="43" xfId="0" applyFont="1" applyBorder="1" applyAlignment="1">
      <alignment horizontal="center"/>
    </xf>
    <xf numFmtId="0" fontId="10" fillId="0" borderId="8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 wrapText="1"/>
      <protection/>
    </xf>
    <xf numFmtId="196" fontId="5" fillId="0" borderId="0" xfId="0" applyNumberFormat="1" applyFont="1" applyAlignment="1">
      <alignment horizontal="right"/>
    </xf>
    <xf numFmtId="196" fontId="16" fillId="36" borderId="81" xfId="0" applyNumberFormat="1" applyFont="1" applyFill="1" applyBorder="1" applyAlignment="1" applyProtection="1">
      <alignment horizontal="right"/>
      <protection locked="0"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37" xfId="0" applyFont="1" applyFill="1" applyBorder="1" applyAlignment="1" applyProtection="1">
      <alignment horizontal="left" vertical="center"/>
      <protection/>
    </xf>
    <xf numFmtId="196" fontId="16" fillId="36" borderId="46" xfId="0" applyNumberFormat="1" applyFont="1" applyFill="1" applyBorder="1" applyAlignment="1" applyProtection="1">
      <alignment horizontal="right"/>
      <protection locked="0"/>
    </xf>
    <xf numFmtId="196" fontId="16" fillId="36" borderId="63" xfId="0" applyNumberFormat="1" applyFont="1" applyFill="1" applyBorder="1" applyAlignment="1" applyProtection="1">
      <alignment horizontal="right"/>
      <protection locked="0"/>
    </xf>
    <xf numFmtId="196" fontId="5" fillId="24" borderId="82" xfId="0" applyNumberFormat="1" applyFont="1" applyFill="1" applyBorder="1" applyAlignment="1">
      <alignment horizontal="right"/>
    </xf>
    <xf numFmtId="196" fontId="16" fillId="36" borderId="83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/>
      <protection/>
    </xf>
    <xf numFmtId="196" fontId="16" fillId="36" borderId="82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 wrapText="1"/>
      <protection/>
    </xf>
    <xf numFmtId="196" fontId="5" fillId="24" borderId="46" xfId="0" applyNumberFormat="1" applyFont="1" applyFill="1" applyBorder="1" applyAlignment="1">
      <alignment horizontal="right"/>
    </xf>
    <xf numFmtId="196" fontId="16" fillId="36" borderId="38" xfId="0" applyNumberFormat="1" applyFont="1" applyFill="1" applyBorder="1" applyAlignment="1" applyProtection="1">
      <alignment horizontal="right"/>
      <protection locked="0"/>
    </xf>
    <xf numFmtId="196" fontId="16" fillId="36" borderId="45" xfId="0" applyNumberFormat="1" applyFont="1" applyFill="1" applyBorder="1" applyAlignment="1" applyProtection="1">
      <alignment horizontal="right"/>
      <protection locked="0"/>
    </xf>
    <xf numFmtId="196" fontId="5" fillId="24" borderId="84" xfId="0" applyNumberFormat="1" applyFont="1" applyFill="1" applyBorder="1" applyAlignment="1">
      <alignment horizontal="right"/>
    </xf>
    <xf numFmtId="196" fontId="16" fillId="36" borderId="84" xfId="0" applyNumberFormat="1" applyFont="1" applyFill="1" applyBorder="1" applyAlignment="1" applyProtection="1">
      <alignment horizontal="right"/>
      <protection locked="0"/>
    </xf>
    <xf numFmtId="196" fontId="5" fillId="24" borderId="81" xfId="0" applyNumberFormat="1" applyFont="1" applyFill="1" applyBorder="1" applyAlignment="1">
      <alignment horizontal="right"/>
    </xf>
    <xf numFmtId="0" fontId="5" fillId="0" borderId="37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196" fontId="5" fillId="24" borderId="83" xfId="0" applyNumberFormat="1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left" vertical="center"/>
      <protection/>
    </xf>
    <xf numFmtId="196" fontId="16" fillId="36" borderId="60" xfId="0" applyNumberFormat="1" applyFont="1" applyFill="1" applyBorder="1" applyAlignment="1" applyProtection="1">
      <alignment horizontal="right"/>
      <protection locked="0"/>
    </xf>
    <xf numFmtId="196" fontId="16" fillId="36" borderId="36" xfId="0" applyNumberFormat="1" applyFont="1" applyFill="1" applyBorder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left" vertical="center" wrapText="1"/>
      <protection/>
    </xf>
    <xf numFmtId="196" fontId="5" fillId="24" borderId="80" xfId="0" applyNumberFormat="1" applyFont="1" applyFill="1" applyBorder="1" applyAlignment="1">
      <alignment horizontal="right"/>
    </xf>
    <xf numFmtId="196" fontId="16" fillId="36" borderId="80" xfId="0" applyNumberFormat="1" applyFont="1" applyFill="1" applyBorder="1" applyAlignment="1" applyProtection="1">
      <alignment horizontal="right"/>
      <protection locked="0"/>
    </xf>
    <xf numFmtId="196" fontId="16" fillId="36" borderId="79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vertical="center" wrapText="1"/>
      <protection/>
    </xf>
    <xf numFmtId="196" fontId="16" fillId="38" borderId="29" xfId="0" applyNumberFormat="1" applyFont="1" applyFill="1" applyBorder="1" applyAlignment="1">
      <alignment horizontal="right"/>
    </xf>
    <xf numFmtId="196" fontId="16" fillId="38" borderId="30" xfId="0" applyNumberFormat="1" applyFont="1" applyFill="1" applyBorder="1" applyAlignment="1">
      <alignment horizontal="right"/>
    </xf>
    <xf numFmtId="196" fontId="5" fillId="38" borderId="43" xfId="0" applyNumberFormat="1" applyFont="1" applyFill="1" applyBorder="1" applyAlignment="1">
      <alignment horizontal="right"/>
    </xf>
    <xf numFmtId="196" fontId="5" fillId="0" borderId="0" xfId="0" applyNumberFormat="1" applyFont="1" applyFill="1" applyAlignment="1">
      <alignment horizontal="right"/>
    </xf>
    <xf numFmtId="196" fontId="16" fillId="36" borderId="43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/>
    </xf>
    <xf numFmtId="196" fontId="16" fillId="38" borderId="33" xfId="0" applyNumberFormat="1" applyFont="1" applyFill="1" applyBorder="1" applyAlignment="1">
      <alignment horizontal="right"/>
    </xf>
    <xf numFmtId="196" fontId="16" fillId="38" borderId="34" xfId="0" applyNumberFormat="1" applyFont="1" applyFill="1" applyBorder="1" applyAlignment="1">
      <alignment horizontal="right"/>
    </xf>
    <xf numFmtId="196" fontId="16" fillId="38" borderId="80" xfId="0" applyNumberFormat="1" applyFont="1" applyFill="1" applyBorder="1" applyAlignment="1">
      <alignment horizontal="right"/>
    </xf>
    <xf numFmtId="196" fontId="16" fillId="38" borderId="80" xfId="0" applyNumberFormat="1" applyFont="1" applyFill="1" applyBorder="1" applyAlignment="1" applyProtection="1">
      <alignment horizontal="right"/>
      <protection/>
    </xf>
    <xf numFmtId="196" fontId="5" fillId="38" borderId="80" xfId="0" applyNumberFormat="1" applyFont="1" applyFill="1" applyBorder="1" applyAlignment="1" applyProtection="1">
      <alignment horizontal="right"/>
      <protection/>
    </xf>
    <xf numFmtId="196" fontId="16" fillId="38" borderId="43" xfId="0" applyNumberFormat="1" applyFont="1" applyFill="1" applyBorder="1" applyAlignment="1">
      <alignment horizontal="right"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0" xfId="0" applyFont="1" applyBorder="1" applyAlignment="1">
      <alignment/>
    </xf>
    <xf numFmtId="196" fontId="10" fillId="24" borderId="43" xfId="0" applyNumberFormat="1" applyFont="1" applyFill="1" applyBorder="1" applyAlignment="1">
      <alignment horizontal="right"/>
    </xf>
    <xf numFmtId="196" fontId="10" fillId="0" borderId="0" xfId="0" applyNumberFormat="1" applyFont="1" applyAlignment="1">
      <alignment horizontal="right"/>
    </xf>
    <xf numFmtId="0" fontId="1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6" fillId="0" borderId="0" xfId="0" applyFont="1" applyAlignment="1" applyProtection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45" fillId="0" borderId="33" xfId="0" applyFont="1" applyFill="1" applyBorder="1" applyAlignment="1" applyProtection="1">
      <alignment/>
      <protection/>
    </xf>
    <xf numFmtId="0" fontId="10" fillId="0" borderId="34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33" xfId="0" applyFont="1" applyBorder="1" applyAlignment="1" applyProtection="1">
      <alignment/>
      <protection/>
    </xf>
    <xf numFmtId="0" fontId="10" fillId="0" borderId="35" xfId="0" applyFont="1" applyFill="1" applyBorder="1" applyAlignment="1" applyProtection="1">
      <alignment/>
      <protection/>
    </xf>
    <xf numFmtId="0" fontId="5" fillId="0" borderId="57" xfId="0" applyFont="1" applyBorder="1" applyAlignment="1" applyProtection="1">
      <alignment/>
      <protection/>
    </xf>
    <xf numFmtId="0" fontId="5" fillId="0" borderId="58" xfId="0" applyFont="1" applyBorder="1" applyAlignment="1" applyProtection="1">
      <alignment/>
      <protection/>
    </xf>
    <xf numFmtId="0" fontId="5" fillId="0" borderId="59" xfId="0" applyFont="1" applyBorder="1" applyAlignment="1" applyProtection="1">
      <alignment/>
      <protection/>
    </xf>
    <xf numFmtId="196" fontId="16" fillId="36" borderId="68" xfId="0" applyNumberFormat="1" applyFont="1" applyFill="1" applyBorder="1" applyAlignment="1" applyProtection="1">
      <alignment horizontal="right"/>
      <protection locked="0"/>
    </xf>
    <xf numFmtId="0" fontId="5" fillId="0" borderId="73" xfId="0" applyFont="1" applyBorder="1" applyAlignment="1" applyProtection="1">
      <alignment/>
      <protection/>
    </xf>
    <xf numFmtId="0" fontId="5" fillId="0" borderId="74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196" fontId="16" fillId="36" borderId="70" xfId="0" applyNumberFormat="1" applyFont="1" applyFill="1" applyBorder="1" applyAlignment="1" applyProtection="1">
      <alignment horizontal="right"/>
      <protection locked="0"/>
    </xf>
    <xf numFmtId="0" fontId="45" fillId="0" borderId="29" xfId="0" applyFont="1" applyBorder="1" applyAlignment="1">
      <alignment/>
    </xf>
    <xf numFmtId="0" fontId="5" fillId="0" borderId="30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44" fillId="0" borderId="23" xfId="0" applyFont="1" applyBorder="1" applyAlignment="1" applyProtection="1">
      <alignment/>
      <protection/>
    </xf>
    <xf numFmtId="0" fontId="44" fillId="0" borderId="28" xfId="0" applyFont="1" applyBorder="1" applyAlignment="1" applyProtection="1">
      <alignment/>
      <protection/>
    </xf>
    <xf numFmtId="0" fontId="5" fillId="0" borderId="28" xfId="0" applyFont="1" applyBorder="1" applyAlignment="1">
      <alignment horizontal="left"/>
    </xf>
    <xf numFmtId="0" fontId="11" fillId="0" borderId="41" xfId="0" applyFont="1" applyBorder="1" applyAlignment="1" applyProtection="1">
      <alignment/>
      <protection/>
    </xf>
    <xf numFmtId="0" fontId="44" fillId="0" borderId="30" xfId="0" applyFont="1" applyBorder="1" applyAlignment="1" applyProtection="1">
      <alignment/>
      <protection/>
    </xf>
    <xf numFmtId="0" fontId="44" fillId="0" borderId="32" xfId="0" applyFont="1" applyBorder="1" applyAlignment="1" applyProtection="1">
      <alignment/>
      <protection/>
    </xf>
    <xf numFmtId="0" fontId="10" fillId="0" borderId="32" xfId="0" applyFont="1" applyBorder="1" applyAlignment="1">
      <alignment horizontal="center"/>
    </xf>
    <xf numFmtId="0" fontId="5" fillId="0" borderId="0" xfId="0" applyFont="1" applyBorder="1" applyAlignment="1" applyProtection="1">
      <alignment wrapText="1"/>
      <protection/>
    </xf>
    <xf numFmtId="0" fontId="5" fillId="0" borderId="57" xfId="0" applyFont="1" applyBorder="1" applyAlignment="1" applyProtection="1">
      <alignment wrapText="1"/>
      <protection/>
    </xf>
    <xf numFmtId="0" fontId="5" fillId="0" borderId="58" xfId="0" applyFont="1" applyBorder="1" applyAlignment="1" applyProtection="1">
      <alignment wrapText="1"/>
      <protection/>
    </xf>
    <xf numFmtId="0" fontId="5" fillId="0" borderId="59" xfId="0" applyFont="1" applyBorder="1" applyAlignment="1" applyProtection="1">
      <alignment wrapText="1"/>
      <protection/>
    </xf>
    <xf numFmtId="0" fontId="5" fillId="0" borderId="29" xfId="0" applyFont="1" applyBorder="1" applyAlignment="1" applyProtection="1">
      <alignment wrapText="1"/>
      <protection/>
    </xf>
    <xf numFmtId="0" fontId="5" fillId="0" borderId="30" xfId="0" applyFont="1" applyBorder="1" applyAlignment="1" applyProtection="1">
      <alignment wrapText="1"/>
      <protection/>
    </xf>
    <xf numFmtId="0" fontId="5" fillId="0" borderId="55" xfId="0" applyFont="1" applyBorder="1" applyAlignment="1" applyProtection="1">
      <alignment wrapText="1"/>
      <protection/>
    </xf>
    <xf numFmtId="0" fontId="5" fillId="0" borderId="25" xfId="0" applyFont="1" applyBorder="1" applyAlignment="1" applyProtection="1">
      <alignment wrapText="1"/>
      <protection/>
    </xf>
    <xf numFmtId="0" fontId="5" fillId="0" borderId="47" xfId="0" applyFont="1" applyBorder="1" applyAlignment="1" applyProtection="1">
      <alignment wrapText="1"/>
      <protection/>
    </xf>
    <xf numFmtId="0" fontId="5" fillId="0" borderId="26" xfId="0" applyFont="1" applyBorder="1" applyAlignment="1" applyProtection="1">
      <alignment wrapText="1"/>
      <protection/>
    </xf>
    <xf numFmtId="0" fontId="5" fillId="0" borderId="24" xfId="0" applyFont="1" applyBorder="1" applyAlignment="1" applyProtection="1">
      <alignment wrapText="1"/>
      <protection/>
    </xf>
    <xf numFmtId="0" fontId="5" fillId="0" borderId="70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wrapText="1"/>
      <protection/>
    </xf>
    <xf numFmtId="0" fontId="10" fillId="0" borderId="33" xfId="0" applyFont="1" applyBorder="1" applyAlignment="1" applyProtection="1">
      <alignment wrapText="1"/>
      <protection/>
    </xf>
    <xf numFmtId="0" fontId="10" fillId="0" borderId="34" xfId="0" applyFont="1" applyBorder="1" applyAlignment="1" applyProtection="1">
      <alignment wrapText="1"/>
      <protection/>
    </xf>
    <xf numFmtId="0" fontId="10" fillId="0" borderId="35" xfId="0" applyFont="1" applyBorder="1" applyAlignment="1" applyProtection="1">
      <alignment wrapText="1"/>
      <protection/>
    </xf>
    <xf numFmtId="196" fontId="10" fillId="24" borderId="35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1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11" fillId="0" borderId="33" xfId="0" applyFont="1" applyBorder="1" applyAlignment="1">
      <alignment/>
    </xf>
    <xf numFmtId="0" fontId="12" fillId="0" borderId="34" xfId="0" applyFont="1" applyBorder="1" applyAlignment="1" applyProtection="1">
      <alignment horizontal="center"/>
      <protection/>
    </xf>
    <xf numFmtId="0" fontId="11" fillId="0" borderId="35" xfId="0" applyFont="1" applyBorder="1" applyAlignment="1">
      <alignment/>
    </xf>
    <xf numFmtId="0" fontId="12" fillId="0" borderId="80" xfId="0" applyFont="1" applyBorder="1" applyAlignment="1" applyProtection="1">
      <alignment horizontal="center"/>
      <protection/>
    </xf>
    <xf numFmtId="0" fontId="12" fillId="0" borderId="80" xfId="0" applyFont="1" applyFill="1" applyBorder="1" applyAlignment="1" applyProtection="1">
      <alignment horizontal="center" wrapText="1"/>
      <protection/>
    </xf>
    <xf numFmtId="0" fontId="12" fillId="0" borderId="79" xfId="0" applyFont="1" applyBorder="1" applyAlignment="1" applyProtection="1">
      <alignment horizontal="center"/>
      <protection/>
    </xf>
    <xf numFmtId="0" fontId="12" fillId="0" borderId="85" xfId="0" applyFont="1" applyBorder="1" applyAlignment="1" applyProtection="1">
      <alignment horizontal="center"/>
      <protection/>
    </xf>
    <xf numFmtId="0" fontId="12" fillId="0" borderId="78" xfId="0" applyFont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12" fillId="0" borderId="8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12" fillId="0" borderId="41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2" fillId="0" borderId="60" xfId="0" applyFont="1" applyBorder="1" applyAlignment="1" applyProtection="1">
      <alignment horizontal="center"/>
      <protection/>
    </xf>
    <xf numFmtId="0" fontId="12" fillId="0" borderId="86" xfId="0" applyFont="1" applyBorder="1" applyAlignment="1" applyProtection="1">
      <alignment horizontal="center"/>
      <protection/>
    </xf>
    <xf numFmtId="0" fontId="12" fillId="0" borderId="81" xfId="0" applyFont="1" applyBorder="1" applyAlignment="1" applyProtection="1">
      <alignment horizontal="center"/>
      <protection/>
    </xf>
    <xf numFmtId="0" fontId="12" fillId="0" borderId="52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80" xfId="0" applyFont="1" applyBorder="1" applyAlignment="1">
      <alignment horizontal="center"/>
    </xf>
    <xf numFmtId="0" fontId="12" fillId="0" borderId="79" xfId="0" applyFont="1" applyBorder="1" applyAlignment="1">
      <alignment horizontal="center"/>
    </xf>
    <xf numFmtId="0" fontId="12" fillId="0" borderId="85" xfId="0" applyFont="1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36" fillId="31" borderId="33" xfId="0" applyFont="1" applyFill="1" applyBorder="1" applyAlignment="1">
      <alignment horizontal="left" vertical="center"/>
    </xf>
    <xf numFmtId="0" fontId="5" fillId="31" borderId="34" xfId="0" applyFont="1" applyFill="1" applyBorder="1" applyAlignment="1">
      <alignment horizontal="centerContinuous" vertical="center"/>
    </xf>
    <xf numFmtId="0" fontId="5" fillId="31" borderId="35" xfId="0" applyFont="1" applyFill="1" applyBorder="1" applyAlignment="1">
      <alignment horizontal="centerContinuous" vertical="center"/>
    </xf>
    <xf numFmtId="0" fontId="45" fillId="0" borderId="22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5" fillId="31" borderId="87" xfId="0" applyFont="1" applyFill="1" applyBorder="1" applyAlignment="1" applyProtection="1">
      <alignment horizontal="center" vertical="center" textRotation="90" wrapText="1"/>
      <protection/>
    </xf>
    <xf numFmtId="0" fontId="5" fillId="31" borderId="49" xfId="0" applyFont="1" applyFill="1" applyBorder="1" applyAlignment="1" applyProtection="1">
      <alignment horizontal="center" vertical="center" textRotation="90" wrapText="1"/>
      <protection/>
    </xf>
    <xf numFmtId="0" fontId="5" fillId="31" borderId="87" xfId="0" applyFont="1" applyFill="1" applyBorder="1" applyAlignment="1" applyProtection="1">
      <alignment horizontal="center" textRotation="90" wrapText="1"/>
      <protection/>
    </xf>
    <xf numFmtId="0" fontId="5" fillId="31" borderId="77" xfId="0" applyFont="1" applyFill="1" applyBorder="1" applyAlignment="1" applyProtection="1">
      <alignment horizontal="center" vertical="center" textRotation="90" wrapText="1"/>
      <protection/>
    </xf>
    <xf numFmtId="0" fontId="5" fillId="31" borderId="78" xfId="0" applyFont="1" applyFill="1" applyBorder="1" applyAlignment="1" applyProtection="1">
      <alignment horizontal="center" vertical="center" textRotation="90" wrapText="1"/>
      <protection/>
    </xf>
    <xf numFmtId="0" fontId="10" fillId="31" borderId="80" xfId="0" applyFont="1" applyFill="1" applyBorder="1" applyAlignment="1" applyProtection="1">
      <alignment horizontal="center" textRotation="90"/>
      <protection/>
    </xf>
    <xf numFmtId="0" fontId="10" fillId="0" borderId="29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87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22" xfId="0" applyFont="1" applyBorder="1" applyAlignment="1">
      <alignment vertical="center"/>
    </xf>
    <xf numFmtId="0" fontId="10" fillId="38" borderId="20" xfId="0" applyFont="1" applyFill="1" applyBorder="1" applyAlignment="1">
      <alignment horizontal="center"/>
    </xf>
    <xf numFmtId="0" fontId="10" fillId="38" borderId="11" xfId="0" applyFont="1" applyFill="1" applyBorder="1" applyAlignment="1">
      <alignment horizontal="center"/>
    </xf>
    <xf numFmtId="0" fontId="10" fillId="38" borderId="0" xfId="0" applyFont="1" applyFill="1" applyBorder="1" applyAlignment="1">
      <alignment horizontal="center"/>
    </xf>
    <xf numFmtId="0" fontId="5" fillId="38" borderId="46" xfId="0" applyFont="1" applyFill="1" applyBorder="1" applyAlignment="1">
      <alignment/>
    </xf>
    <xf numFmtId="196" fontId="16" fillId="36" borderId="14" xfId="0" applyNumberFormat="1" applyFont="1" applyFill="1" applyBorder="1" applyAlignment="1" applyProtection="1">
      <alignment/>
      <protection locked="0"/>
    </xf>
    <xf numFmtId="196" fontId="16" fillId="38" borderId="13" xfId="0" applyNumberFormat="1" applyFont="1" applyFill="1" applyBorder="1" applyAlignment="1" applyProtection="1">
      <alignment/>
      <protection/>
    </xf>
    <xf numFmtId="196" fontId="16" fillId="38" borderId="18" xfId="0" applyNumberFormat="1" applyFont="1" applyFill="1" applyBorder="1" applyAlignment="1" applyProtection="1">
      <alignment/>
      <protection/>
    </xf>
    <xf numFmtId="196" fontId="16" fillId="38" borderId="18" xfId="0" applyNumberFormat="1" applyFont="1" applyFill="1" applyBorder="1" applyAlignment="1">
      <alignment/>
    </xf>
    <xf numFmtId="196" fontId="5" fillId="24" borderId="46" xfId="0" applyNumberFormat="1" applyFont="1" applyFill="1" applyBorder="1" applyAlignment="1">
      <alignment/>
    </xf>
    <xf numFmtId="0" fontId="10" fillId="0" borderId="26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196" fontId="10" fillId="38" borderId="20" xfId="0" applyNumberFormat="1" applyFont="1" applyFill="1" applyBorder="1" applyAlignment="1">
      <alignment horizontal="center"/>
    </xf>
    <xf numFmtId="196" fontId="10" fillId="38" borderId="11" xfId="0" applyNumberFormat="1" applyFont="1" applyFill="1" applyBorder="1" applyAlignment="1">
      <alignment horizontal="center"/>
    </xf>
    <xf numFmtId="196" fontId="5" fillId="38" borderId="46" xfId="0" applyNumberFormat="1" applyFont="1" applyFill="1" applyBorder="1" applyAlignment="1">
      <alignment/>
    </xf>
    <xf numFmtId="0" fontId="5" fillId="0" borderId="55" xfId="0" applyFont="1" applyBorder="1" applyAlignment="1">
      <alignment horizontal="left" vertical="center" indent="1"/>
    </xf>
    <xf numFmtId="0" fontId="5" fillId="0" borderId="47" xfId="0" applyFont="1" applyBorder="1" applyAlignment="1">
      <alignment horizontal="left" vertical="center"/>
    </xf>
    <xf numFmtId="196" fontId="16" fillId="38" borderId="14" xfId="0" applyNumberFormat="1" applyFont="1" applyFill="1" applyBorder="1" applyAlignment="1" applyProtection="1">
      <alignment/>
      <protection/>
    </xf>
    <xf numFmtId="0" fontId="5" fillId="0" borderId="64" xfId="0" applyFont="1" applyBorder="1" applyAlignment="1">
      <alignment vertical="center"/>
    </xf>
    <xf numFmtId="196" fontId="16" fillId="38" borderId="14" xfId="0" applyNumberFormat="1" applyFont="1" applyFill="1" applyBorder="1" applyAlignment="1">
      <alignment/>
    </xf>
    <xf numFmtId="196" fontId="16" fillId="38" borderId="13" xfId="0" applyNumberFormat="1" applyFont="1" applyFill="1" applyBorder="1" applyAlignment="1">
      <alignment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196" fontId="10" fillId="24" borderId="14" xfId="0" applyNumberFormat="1" applyFont="1" applyFill="1" applyBorder="1" applyAlignment="1">
      <alignment/>
    </xf>
    <xf numFmtId="196" fontId="10" fillId="24" borderId="25" xfId="0" applyNumberFormat="1" applyFont="1" applyFill="1" applyBorder="1" applyAlignment="1">
      <alignment/>
    </xf>
    <xf numFmtId="196" fontId="10" fillId="24" borderId="46" xfId="0" applyNumberFormat="1" applyFont="1" applyFill="1" applyBorder="1" applyAlignment="1">
      <alignment/>
    </xf>
    <xf numFmtId="0" fontId="46" fillId="0" borderId="0" xfId="0" applyFont="1" applyAlignment="1" applyProtection="1" quotePrefix="1">
      <alignment/>
      <protection/>
    </xf>
    <xf numFmtId="0" fontId="5" fillId="0" borderId="36" xfId="0" applyFont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196" fontId="10" fillId="24" borderId="13" xfId="0" applyNumberFormat="1" applyFont="1" applyFill="1" applyBorder="1" applyAlignment="1">
      <alignment/>
    </xf>
    <xf numFmtId="196" fontId="10" fillId="24" borderId="18" xfId="0" applyNumberFormat="1" applyFont="1" applyFill="1" applyBorder="1" applyAlignment="1">
      <alignment/>
    </xf>
    <xf numFmtId="0" fontId="5" fillId="0" borderId="0" xfId="0" applyFont="1" applyAlignment="1" applyProtection="1" quotePrefix="1">
      <alignment/>
      <protection/>
    </xf>
    <xf numFmtId="0" fontId="5" fillId="0" borderId="71" xfId="0" applyFont="1" applyBorder="1" applyAlignment="1">
      <alignment vertical="center"/>
    </xf>
    <xf numFmtId="0" fontId="10" fillId="0" borderId="72" xfId="0" applyFont="1" applyBorder="1" applyAlignment="1">
      <alignment horizontal="center" vertical="center"/>
    </xf>
    <xf numFmtId="196" fontId="16" fillId="38" borderId="10" xfId="0" applyNumberFormat="1" applyFont="1" applyFill="1" applyBorder="1" applyAlignment="1">
      <alignment/>
    </xf>
    <xf numFmtId="196" fontId="5" fillId="38" borderId="10" xfId="0" applyNumberFormat="1" applyFont="1" applyFill="1" applyBorder="1" applyAlignment="1">
      <alignment/>
    </xf>
    <xf numFmtId="196" fontId="10" fillId="24" borderId="84" xfId="0" applyNumberFormat="1" applyFont="1" applyFill="1" applyBorder="1" applyAlignment="1">
      <alignment/>
    </xf>
    <xf numFmtId="0" fontId="46" fillId="0" borderId="0" xfId="0" applyFont="1" applyAlignment="1" applyProtection="1">
      <alignment/>
      <protection/>
    </xf>
    <xf numFmtId="0" fontId="10" fillId="0" borderId="79" xfId="0" applyFont="1" applyBorder="1" applyAlignment="1">
      <alignment vertical="center"/>
    </xf>
    <xf numFmtId="0" fontId="10" fillId="0" borderId="78" xfId="0" applyFont="1" applyBorder="1" applyAlignment="1">
      <alignment vertical="center"/>
    </xf>
    <xf numFmtId="196" fontId="10" fillId="24" borderId="76" xfId="0" applyNumberFormat="1" applyFont="1" applyFill="1" applyBorder="1" applyAlignment="1">
      <alignment/>
    </xf>
    <xf numFmtId="196" fontId="10" fillId="24" borderId="77" xfId="0" applyNumberFormat="1" applyFont="1" applyFill="1" applyBorder="1" applyAlignment="1">
      <alignment/>
    </xf>
    <xf numFmtId="196" fontId="10" fillId="24" borderId="85" xfId="0" applyNumberFormat="1" applyFont="1" applyFill="1" applyBorder="1" applyAlignment="1">
      <alignment/>
    </xf>
    <xf numFmtId="196" fontId="10" fillId="24" borderId="80" xfId="0" applyNumberFormat="1" applyFont="1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46" fillId="0" borderId="0" xfId="0" applyFont="1" applyBorder="1" applyAlignment="1">
      <alignment horizontal="center"/>
    </xf>
    <xf numFmtId="0" fontId="36" fillId="4" borderId="33" xfId="0" applyFont="1" applyFill="1" applyBorder="1" applyAlignment="1">
      <alignment horizontal="left" vertical="center"/>
    </xf>
    <xf numFmtId="0" fontId="10" fillId="4" borderId="34" xfId="0" applyFont="1" applyFill="1" applyBorder="1" applyAlignment="1">
      <alignment horizontal="left" vertical="center"/>
    </xf>
    <xf numFmtId="0" fontId="10" fillId="4" borderId="34" xfId="0" applyFont="1" applyFill="1" applyBorder="1" applyAlignment="1" applyProtection="1">
      <alignment vertical="center" wrapText="1"/>
      <protection/>
    </xf>
    <xf numFmtId="0" fontId="10" fillId="4" borderId="35" xfId="0" applyFont="1" applyFill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>
      <alignment vertical="center"/>
    </xf>
    <xf numFmtId="0" fontId="10" fillId="4" borderId="42" xfId="0" applyFont="1" applyFill="1" applyBorder="1" applyAlignment="1" applyProtection="1">
      <alignment horizontal="center" vertical="center" wrapText="1"/>
      <protection/>
    </xf>
    <xf numFmtId="0" fontId="45" fillId="0" borderId="26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4" borderId="41" xfId="0" applyFont="1" applyFill="1" applyBorder="1" applyAlignment="1" applyProtection="1">
      <alignment vertical="center" wrapText="1"/>
      <protection/>
    </xf>
    <xf numFmtId="0" fontId="10" fillId="4" borderId="41" xfId="0" applyFont="1" applyFill="1" applyBorder="1" applyAlignment="1" applyProtection="1">
      <alignment horizontal="center" vertical="center" wrapText="1"/>
      <protection/>
    </xf>
    <xf numFmtId="0" fontId="10" fillId="0" borderId="26" xfId="0" applyFont="1" applyFill="1" applyBorder="1" applyAlignment="1">
      <alignment vertical="center"/>
    </xf>
    <xf numFmtId="0" fontId="5" fillId="0" borderId="86" xfId="0" applyFont="1" applyFill="1" applyBorder="1" applyAlignment="1" applyProtection="1">
      <alignment/>
      <protection/>
    </xf>
    <xf numFmtId="196" fontId="16" fillId="36" borderId="46" xfId="0" applyNumberFormat="1" applyFont="1" applyFill="1" applyBorder="1" applyAlignment="1" applyProtection="1">
      <alignment/>
      <protection locked="0"/>
    </xf>
    <xf numFmtId="196" fontId="5" fillId="24" borderId="82" xfId="0" applyNumberFormat="1" applyFont="1" applyFill="1" applyBorder="1" applyAlignment="1">
      <alignment/>
    </xf>
    <xf numFmtId="0" fontId="5" fillId="0" borderId="45" xfId="0" applyFont="1" applyFill="1" applyBorder="1" applyAlignment="1" applyProtection="1">
      <alignment/>
      <protection/>
    </xf>
    <xf numFmtId="196" fontId="16" fillId="36" borderId="83" xfId="0" applyNumberFormat="1" applyFont="1" applyFill="1" applyBorder="1" applyAlignment="1" applyProtection="1">
      <alignment/>
      <protection locked="0"/>
    </xf>
    <xf numFmtId="196" fontId="5" fillId="24" borderId="83" xfId="0" applyNumberFormat="1" applyFont="1" applyFill="1" applyBorder="1" applyAlignment="1">
      <alignment/>
    </xf>
    <xf numFmtId="0" fontId="5" fillId="0" borderId="18" xfId="0" applyFont="1" applyFill="1" applyBorder="1" applyAlignment="1" applyProtection="1">
      <alignment/>
      <protection/>
    </xf>
    <xf numFmtId="0" fontId="5" fillId="0" borderId="45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45" xfId="0" applyFont="1" applyBorder="1" applyAlignment="1" applyProtection="1">
      <alignment vertical="center"/>
      <protection/>
    </xf>
    <xf numFmtId="0" fontId="5" fillId="0" borderId="86" xfId="0" applyFont="1" applyFill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196" fontId="5" fillId="24" borderId="80" xfId="0" applyNumberFormat="1" applyFont="1" applyFill="1" applyBorder="1" applyAlignment="1">
      <alignment/>
    </xf>
    <xf numFmtId="0" fontId="5" fillId="0" borderId="26" xfId="0" applyFont="1" applyBorder="1" applyAlignment="1">
      <alignment/>
    </xf>
    <xf numFmtId="0" fontId="10" fillId="4" borderId="33" xfId="0" applyFont="1" applyFill="1" applyBorder="1" applyAlignment="1">
      <alignment horizontal="left" vertical="center"/>
    </xf>
    <xf numFmtId="0" fontId="0" fillId="4" borderId="34" xfId="0" applyFill="1" applyBorder="1" applyAlignment="1">
      <alignment/>
    </xf>
    <xf numFmtId="0" fontId="12" fillId="4" borderId="80" xfId="0" applyFont="1" applyFill="1" applyBorder="1" applyAlignment="1" applyProtection="1">
      <alignment horizontal="center" wrapText="1"/>
      <protection/>
    </xf>
    <xf numFmtId="0" fontId="36" fillId="0" borderId="33" xfId="0" applyFont="1" applyBorder="1" applyAlignment="1">
      <alignment vertical="center"/>
    </xf>
    <xf numFmtId="0" fontId="0" fillId="0" borderId="34" xfId="0" applyBorder="1" applyAlignment="1">
      <alignment/>
    </xf>
    <xf numFmtId="0" fontId="11" fillId="0" borderId="67" xfId="0" applyFont="1" applyBorder="1" applyAlignment="1" applyProtection="1">
      <alignment/>
      <protection/>
    </xf>
    <xf numFmtId="0" fontId="11" fillId="0" borderId="27" xfId="0" applyFont="1" applyBorder="1" applyAlignment="1" applyProtection="1">
      <alignment wrapText="1"/>
      <protection/>
    </xf>
    <xf numFmtId="196" fontId="10" fillId="24" borderId="81" xfId="0" applyNumberFormat="1" applyFont="1" applyFill="1" applyBorder="1" applyAlignment="1">
      <alignment/>
    </xf>
    <xf numFmtId="0" fontId="11" fillId="0" borderId="55" xfId="0" applyFont="1" applyBorder="1" applyAlignment="1" applyProtection="1">
      <alignment/>
      <protection/>
    </xf>
    <xf numFmtId="0" fontId="11" fillId="0" borderId="25" xfId="0" applyFont="1" applyBorder="1" applyAlignment="1" applyProtection="1">
      <alignment wrapText="1"/>
      <protection/>
    </xf>
    <xf numFmtId="0" fontId="11" fillId="0" borderId="24" xfId="0" applyFont="1" applyBorder="1" applyAlignment="1" applyProtection="1">
      <alignment wrapText="1"/>
      <protection/>
    </xf>
    <xf numFmtId="0" fontId="11" fillId="0" borderId="73" xfId="0" applyFont="1" applyBorder="1" applyAlignment="1" applyProtection="1">
      <alignment/>
      <protection/>
    </xf>
    <xf numFmtId="0" fontId="11" fillId="0" borderId="74" xfId="0" applyFont="1" applyBorder="1" applyAlignment="1" applyProtection="1">
      <alignment wrapText="1"/>
      <protection/>
    </xf>
    <xf numFmtId="196" fontId="10" fillId="24" borderId="83" xfId="0" applyNumberFormat="1" applyFont="1" applyFill="1" applyBorder="1" applyAlignment="1">
      <alignment/>
    </xf>
    <xf numFmtId="0" fontId="12" fillId="0" borderId="33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 wrapText="1"/>
      <protection/>
    </xf>
    <xf numFmtId="0" fontId="11" fillId="0" borderId="26" xfId="0" applyFont="1" applyBorder="1" applyAlignment="1">
      <alignment/>
    </xf>
    <xf numFmtId="196" fontId="0" fillId="24" borderId="80" xfId="0" applyNumberFormat="1" applyFill="1" applyBorder="1" applyAlignment="1">
      <alignment/>
    </xf>
    <xf numFmtId="0" fontId="12" fillId="0" borderId="0" xfId="0" applyFont="1" applyBorder="1" applyAlignment="1" applyProtection="1">
      <alignment wrapText="1"/>
      <protection/>
    </xf>
    <xf numFmtId="0" fontId="47" fillId="0" borderId="0" xfId="0" applyFont="1" applyFill="1" applyBorder="1" applyAlignment="1">
      <alignment/>
    </xf>
    <xf numFmtId="196" fontId="10" fillId="0" borderId="80" xfId="0" applyNumberFormat="1" applyFont="1" applyFill="1" applyBorder="1" applyAlignment="1">
      <alignment/>
    </xf>
    <xf numFmtId="196" fontId="5" fillId="0" borderId="46" xfId="0" applyNumberFormat="1" applyFont="1" applyFill="1" applyBorder="1" applyAlignment="1" applyProtection="1">
      <alignment/>
      <protection locked="0"/>
    </xf>
    <xf numFmtId="0" fontId="36" fillId="32" borderId="22" xfId="0" applyFont="1" applyFill="1" applyBorder="1" applyAlignment="1">
      <alignment vertical="center"/>
    </xf>
    <xf numFmtId="0" fontId="10" fillId="32" borderId="23" xfId="0" applyFont="1" applyFill="1" applyBorder="1" applyAlignment="1">
      <alignment vertical="center"/>
    </xf>
    <xf numFmtId="0" fontId="10" fillId="32" borderId="34" xfId="0" applyFont="1" applyFill="1" applyBorder="1" applyAlignment="1" applyProtection="1">
      <alignment horizontal="center" wrapText="1"/>
      <protection/>
    </xf>
    <xf numFmtId="0" fontId="10" fillId="32" borderId="35" xfId="0" applyFont="1" applyFill="1" applyBorder="1" applyAlignment="1" applyProtection="1">
      <alignment horizontal="center" wrapText="1"/>
      <protection/>
    </xf>
    <xf numFmtId="0" fontId="45" fillId="0" borderId="22" xfId="0" applyFont="1" applyFill="1" applyBorder="1" applyAlignment="1">
      <alignment/>
    </xf>
    <xf numFmtId="0" fontId="10" fillId="32" borderId="32" xfId="0" applyFont="1" applyFill="1" applyBorder="1" applyAlignment="1" applyProtection="1">
      <alignment horizontal="center" wrapText="1"/>
      <protection/>
    </xf>
    <xf numFmtId="0" fontId="10" fillId="32" borderId="43" xfId="0" applyFont="1" applyFill="1" applyBorder="1" applyAlignment="1" applyProtection="1">
      <alignment horizontal="center" wrapText="1"/>
      <protection/>
    </xf>
    <xf numFmtId="0" fontId="10" fillId="0" borderId="29" xfId="0" applyFont="1" applyFill="1" applyBorder="1" applyAlignment="1">
      <alignment vertical="center"/>
    </xf>
    <xf numFmtId="0" fontId="5" fillId="0" borderId="32" xfId="0" applyFont="1" applyFill="1" applyBorder="1" applyAlignment="1">
      <alignment/>
    </xf>
    <xf numFmtId="0" fontId="10" fillId="0" borderId="35" xfId="0" applyFont="1" applyBorder="1" applyAlignment="1">
      <alignment horizontal="center"/>
    </xf>
    <xf numFmtId="0" fontId="5" fillId="0" borderId="67" xfId="0" applyFont="1" applyBorder="1" applyAlignment="1" applyProtection="1">
      <alignment horizontal="left"/>
      <protection/>
    </xf>
    <xf numFmtId="0" fontId="5" fillId="0" borderId="27" xfId="0" applyFont="1" applyBorder="1" applyAlignment="1" applyProtection="1">
      <alignment wrapText="1"/>
      <protection/>
    </xf>
    <xf numFmtId="0" fontId="5" fillId="0" borderId="55" xfId="0" applyFont="1" applyBorder="1" applyAlignment="1" applyProtection="1">
      <alignment horizontal="left"/>
      <protection/>
    </xf>
    <xf numFmtId="0" fontId="11" fillId="0" borderId="0" xfId="0" applyFont="1" applyFill="1" applyBorder="1" applyAlignment="1">
      <alignment/>
    </xf>
    <xf numFmtId="0" fontId="12" fillId="0" borderId="3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3" xfId="0" applyFont="1" applyBorder="1" applyAlignment="1" applyProtection="1">
      <alignment/>
      <protection/>
    </xf>
    <xf numFmtId="0" fontId="12" fillId="0" borderId="80" xfId="0" applyFont="1" applyFill="1" applyBorder="1" applyAlignment="1">
      <alignment horizontal="center"/>
    </xf>
    <xf numFmtId="0" fontId="12" fillId="0" borderId="28" xfId="0" applyFont="1" applyFill="1" applyBorder="1" applyAlignment="1" applyProtection="1">
      <alignment horizontal="center"/>
      <protection/>
    </xf>
    <xf numFmtId="0" fontId="11" fillId="0" borderId="26" xfId="0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196" fontId="11" fillId="0" borderId="0" xfId="0" applyNumberFormat="1" applyFont="1" applyFill="1" applyBorder="1" applyAlignment="1">
      <alignment/>
    </xf>
    <xf numFmtId="196" fontId="12" fillId="0" borderId="80" xfId="0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196" fontId="11" fillId="0" borderId="31" xfId="0" applyNumberFormat="1" applyFont="1" applyFill="1" applyBorder="1" applyAlignment="1">
      <alignment/>
    </xf>
    <xf numFmtId="0" fontId="11" fillId="0" borderId="34" xfId="0" applyFont="1" applyFill="1" applyBorder="1" applyAlignment="1">
      <alignment/>
    </xf>
    <xf numFmtId="196" fontId="11" fillId="0" borderId="80" xfId="0" applyNumberFormat="1" applyFont="1" applyFill="1" applyBorder="1" applyAlignment="1">
      <alignment horizontal="center" wrapText="1"/>
    </xf>
    <xf numFmtId="196" fontId="43" fillId="0" borderId="80" xfId="0" applyNumberFormat="1" applyFont="1" applyFill="1" applyBorder="1" applyAlignment="1">
      <alignment horizontal="center"/>
    </xf>
    <xf numFmtId="196" fontId="43" fillId="0" borderId="80" xfId="0" applyNumberFormat="1" applyFont="1" applyFill="1" applyBorder="1" applyAlignment="1">
      <alignment horizontal="center" textRotation="90" wrapText="1"/>
    </xf>
    <xf numFmtId="196" fontId="43" fillId="0" borderId="41" xfId="0" applyNumberFormat="1" applyFont="1" applyFill="1" applyBorder="1" applyAlignment="1">
      <alignment horizontal="center"/>
    </xf>
    <xf numFmtId="196" fontId="43" fillId="0" borderId="41" xfId="0" applyNumberFormat="1" applyFont="1" applyFill="1" applyBorder="1" applyAlignment="1">
      <alignment horizontal="center" textRotation="90" wrapText="1"/>
    </xf>
    <xf numFmtId="0" fontId="11" fillId="0" borderId="0" xfId="0" applyFont="1" applyBorder="1" applyAlignment="1">
      <alignment horizontal="left"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0" xfId="0" applyFont="1" applyFill="1" applyBorder="1" applyAlignment="1">
      <alignment/>
    </xf>
    <xf numFmtId="0" fontId="11" fillId="0" borderId="23" xfId="0" applyFont="1" applyBorder="1" applyAlignment="1" applyProtection="1">
      <alignment horizontal="left" indent="1"/>
      <protection/>
    </xf>
    <xf numFmtId="196" fontId="11" fillId="0" borderId="23" xfId="0" applyNumberFormat="1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0" xfId="0" applyFont="1" applyBorder="1" applyAlignment="1" applyProtection="1">
      <alignment horizontal="left" indent="1"/>
      <protection/>
    </xf>
    <xf numFmtId="0" fontId="11" fillId="0" borderId="0" xfId="0" applyFont="1" applyBorder="1" applyAlignment="1">
      <alignment horizontal="left" indent="1"/>
    </xf>
    <xf numFmtId="196" fontId="43" fillId="0" borderId="0" xfId="0" applyNumberFormat="1" applyFont="1" applyFill="1" applyBorder="1" applyAlignment="1">
      <alignment/>
    </xf>
    <xf numFmtId="196" fontId="11" fillId="0" borderId="30" xfId="0" applyNumberFormat="1" applyFont="1" applyFill="1" applyBorder="1" applyAlignment="1">
      <alignment/>
    </xf>
    <xf numFmtId="196" fontId="43" fillId="0" borderId="30" xfId="0" applyNumberFormat="1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3" xfId="0" applyFont="1" applyFill="1" applyBorder="1" applyAlignment="1">
      <alignment/>
    </xf>
    <xf numFmtId="196" fontId="43" fillId="0" borderId="23" xfId="0" applyNumberFormat="1" applyFont="1" applyFill="1" applyBorder="1" applyAlignment="1">
      <alignment/>
    </xf>
    <xf numFmtId="196" fontId="11" fillId="0" borderId="28" xfId="0" applyNumberFormat="1" applyFont="1" applyFill="1" applyBorder="1" applyAlignment="1">
      <alignment/>
    </xf>
    <xf numFmtId="196" fontId="12" fillId="0" borderId="31" xfId="0" applyNumberFormat="1" applyFont="1" applyFill="1" applyBorder="1" applyAlignment="1">
      <alignment horizontal="center"/>
    </xf>
    <xf numFmtId="196" fontId="12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6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96" fontId="29" fillId="36" borderId="26" xfId="0" applyNumberFormat="1" applyFont="1" applyFill="1" applyBorder="1" applyAlignment="1" applyProtection="1">
      <alignment/>
      <protection locked="0"/>
    </xf>
    <xf numFmtId="196" fontId="11" fillId="0" borderId="31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196" fontId="29" fillId="36" borderId="67" xfId="0" applyNumberFormat="1" applyFont="1" applyFill="1" applyBorder="1" applyAlignment="1" applyProtection="1">
      <alignment/>
      <protection locked="0"/>
    </xf>
    <xf numFmtId="196" fontId="11" fillId="0" borderId="26" xfId="0" applyNumberFormat="1" applyFont="1" applyFill="1" applyBorder="1" applyAlignment="1" applyProtection="1">
      <alignment/>
      <protection/>
    </xf>
    <xf numFmtId="196" fontId="29" fillId="0" borderId="31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12" fillId="0" borderId="0" xfId="0" applyFont="1" applyFill="1" applyBorder="1" applyAlignment="1">
      <alignment horizontal="right"/>
    </xf>
    <xf numFmtId="196" fontId="11" fillId="0" borderId="29" xfId="0" applyNumberFormat="1" applyFont="1" applyFill="1" applyBorder="1" applyAlignment="1" applyProtection="1">
      <alignment/>
      <protection/>
    </xf>
    <xf numFmtId="196" fontId="12" fillId="24" borderId="88" xfId="0" applyNumberFormat="1" applyFont="1" applyFill="1" applyBorder="1" applyAlignment="1" applyProtection="1">
      <alignment/>
      <protection/>
    </xf>
    <xf numFmtId="0" fontId="0" fillId="0" borderId="29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0" xfId="0" applyFont="1" applyBorder="1" applyAlignment="1">
      <alignment/>
    </xf>
    <xf numFmtId="0" fontId="12" fillId="0" borderId="23" xfId="0" applyFont="1" applyFill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6" xfId="0" applyFont="1" applyFill="1" applyBorder="1" applyAlignment="1">
      <alignment/>
    </xf>
    <xf numFmtId="0" fontId="11" fillId="0" borderId="0" xfId="0" applyFont="1" applyFill="1" applyBorder="1" applyAlignment="1" applyProtection="1">
      <alignment horizontal="left" indent="1"/>
      <protection/>
    </xf>
    <xf numFmtId="196" fontId="29" fillId="36" borderId="42" xfId="0" applyNumberFormat="1" applyFont="1" applyFill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right"/>
      <protection/>
    </xf>
    <xf numFmtId="196" fontId="12" fillId="24" borderId="89" xfId="0" applyNumberFormat="1" applyFont="1" applyFill="1" applyBorder="1" applyAlignment="1" applyProtection="1">
      <alignment/>
      <protection locked="0"/>
    </xf>
    <xf numFmtId="214" fontId="12" fillId="0" borderId="10" xfId="0" applyNumberFormat="1" applyFont="1" applyBorder="1" applyAlignment="1">
      <alignment vertical="top"/>
    </xf>
    <xf numFmtId="0" fontId="12" fillId="0" borderId="13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214" fontId="12" fillId="0" borderId="12" xfId="0" applyNumberFormat="1" applyFont="1" applyBorder="1" applyAlignment="1">
      <alignment/>
    </xf>
    <xf numFmtId="214" fontId="12" fillId="0" borderId="12" xfId="0" applyNumberFormat="1" applyFont="1" applyBorder="1" applyAlignment="1">
      <alignment horizontal="center"/>
    </xf>
    <xf numFmtId="214" fontId="12" fillId="0" borderId="17" xfId="0" applyNumberFormat="1" applyFont="1" applyBorder="1" applyAlignment="1">
      <alignment horizontal="center"/>
    </xf>
    <xf numFmtId="214" fontId="48" fillId="36" borderId="11" xfId="0" applyNumberFormat="1" applyFont="1" applyFill="1" applyBorder="1" applyAlignment="1" applyProtection="1">
      <alignment horizontal="left"/>
      <protection locked="0"/>
    </xf>
    <xf numFmtId="196" fontId="29" fillId="36" borderId="16" xfId="0" applyNumberFormat="1" applyFont="1" applyFill="1" applyBorder="1" applyAlignment="1" applyProtection="1">
      <alignment horizontal="right"/>
      <protection locked="0"/>
    </xf>
    <xf numFmtId="196" fontId="11" fillId="24" borderId="11" xfId="66" applyNumberFormat="1" applyFont="1" applyFill="1" applyBorder="1">
      <alignment/>
      <protection/>
    </xf>
    <xf numFmtId="214" fontId="48" fillId="36" borderId="10" xfId="0" applyNumberFormat="1" applyFont="1" applyFill="1" applyBorder="1" applyAlignment="1" applyProtection="1">
      <alignment horizontal="left"/>
      <protection locked="0"/>
    </xf>
    <xf numFmtId="214" fontId="48" fillId="36" borderId="12" xfId="0" applyNumberFormat="1" applyFont="1" applyFill="1" applyBorder="1" applyAlignment="1" applyProtection="1">
      <alignment horizontal="left"/>
      <protection locked="0"/>
    </xf>
    <xf numFmtId="183" fontId="12" fillId="24" borderId="13" xfId="0" applyNumberFormat="1" applyFont="1" applyFill="1" applyBorder="1" applyAlignment="1">
      <alignment/>
    </xf>
    <xf numFmtId="196" fontId="12" fillId="24" borderId="46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196" fontId="29" fillId="38" borderId="41" xfId="0" applyNumberFormat="1" applyFont="1" applyFill="1" applyBorder="1" applyAlignment="1" applyProtection="1">
      <alignment/>
      <protection/>
    </xf>
    <xf numFmtId="196" fontId="29" fillId="36" borderId="43" xfId="0" applyNumberFormat="1" applyFont="1" applyFill="1" applyBorder="1" applyAlignment="1" applyProtection="1">
      <alignment/>
      <protection locked="0"/>
    </xf>
    <xf numFmtId="196" fontId="12" fillId="24" borderId="89" xfId="0" applyNumberFormat="1" applyFont="1" applyFill="1" applyBorder="1" applyAlignment="1" applyProtection="1">
      <alignment/>
      <protection/>
    </xf>
    <xf numFmtId="196" fontId="11" fillId="24" borderId="41" xfId="0" applyNumberFormat="1" applyFont="1" applyFill="1" applyBorder="1" applyAlignment="1" applyProtection="1">
      <alignment/>
      <protection/>
    </xf>
    <xf numFmtId="196" fontId="29" fillId="36" borderId="48" xfId="0" applyNumberFormat="1" applyFont="1" applyFill="1" applyBorder="1" applyAlignment="1" applyProtection="1">
      <alignment/>
      <protection locked="0"/>
    </xf>
    <xf numFmtId="196" fontId="29" fillId="36" borderId="87" xfId="0" applyNumberFormat="1" applyFont="1" applyFill="1" applyBorder="1" applyAlignment="1" applyProtection="1">
      <alignment/>
      <protection locked="0"/>
    </xf>
    <xf numFmtId="196" fontId="29" fillId="36" borderId="56" xfId="0" applyNumberFormat="1" applyFont="1" applyFill="1" applyBorder="1" applyAlignment="1" applyProtection="1">
      <alignment/>
      <protection locked="0"/>
    </xf>
    <xf numFmtId="196" fontId="11" fillId="24" borderId="43" xfId="0" applyNumberFormat="1" applyFont="1" applyFill="1" applyBorder="1" applyAlignment="1" applyProtection="1">
      <alignment/>
      <protection/>
    </xf>
    <xf numFmtId="196" fontId="29" fillId="36" borderId="52" xfId="0" applyNumberFormat="1" applyFont="1" applyFill="1" applyBorder="1" applyAlignment="1" applyProtection="1">
      <alignment/>
      <protection locked="0"/>
    </xf>
    <xf numFmtId="196" fontId="29" fillId="36" borderId="90" xfId="0" applyNumberFormat="1" applyFont="1" applyFill="1" applyBorder="1" applyAlignment="1" applyProtection="1">
      <alignment/>
      <protection locked="0"/>
    </xf>
    <xf numFmtId="196" fontId="29" fillId="36" borderId="66" xfId="0" applyNumberFormat="1" applyFont="1" applyFill="1" applyBorder="1" applyAlignment="1" applyProtection="1">
      <alignment/>
      <protection locked="0"/>
    </xf>
    <xf numFmtId="196" fontId="29" fillId="36" borderId="20" xfId="0" applyNumberFormat="1" applyFont="1" applyFill="1" applyBorder="1" applyAlignment="1" applyProtection="1">
      <alignment/>
      <protection locked="0"/>
    </xf>
    <xf numFmtId="196" fontId="29" fillId="36" borderId="31" xfId="0" applyNumberFormat="1" applyFont="1" applyFill="1" applyBorder="1" applyAlignment="1" applyProtection="1">
      <alignment/>
      <protection locked="0"/>
    </xf>
    <xf numFmtId="196" fontId="29" fillId="36" borderId="63" xfId="0" applyNumberFormat="1" applyFont="1" applyFill="1" applyBorder="1" applyAlignment="1" applyProtection="1">
      <alignment/>
      <protection locked="0"/>
    </xf>
    <xf numFmtId="196" fontId="29" fillId="36" borderId="21" xfId="0" applyNumberFormat="1" applyFont="1" applyFill="1" applyBorder="1" applyAlignment="1" applyProtection="1">
      <alignment/>
      <protection locked="0"/>
    </xf>
    <xf numFmtId="196" fontId="29" fillId="36" borderId="12" xfId="0" applyNumberFormat="1" applyFont="1" applyFill="1" applyBorder="1" applyAlignment="1" applyProtection="1">
      <alignment/>
      <protection locked="0"/>
    </xf>
    <xf numFmtId="196" fontId="29" fillId="36" borderId="68" xfId="0" applyNumberFormat="1" applyFont="1" applyFill="1" applyBorder="1" applyAlignment="1" applyProtection="1">
      <alignment/>
      <protection locked="0"/>
    </xf>
    <xf numFmtId="196" fontId="12" fillId="24" borderId="83" xfId="0" applyNumberFormat="1" applyFont="1" applyFill="1" applyBorder="1" applyAlignment="1" applyProtection="1">
      <alignment/>
      <protection/>
    </xf>
    <xf numFmtId="0" fontId="12" fillId="0" borderId="30" xfId="0" applyFont="1" applyBorder="1" applyAlignment="1" applyProtection="1">
      <alignment horizontal="right"/>
      <protection/>
    </xf>
    <xf numFmtId="0" fontId="24" fillId="0" borderId="30" xfId="0" applyFont="1" applyBorder="1" applyAlignment="1" applyProtection="1" quotePrefix="1">
      <alignment horizontal="center"/>
      <protection/>
    </xf>
    <xf numFmtId="0" fontId="24" fillId="0" borderId="30" xfId="0" applyFont="1" applyBorder="1" applyAlignment="1" applyProtection="1">
      <alignment horizontal="center"/>
      <protection/>
    </xf>
    <xf numFmtId="0" fontId="12" fillId="0" borderId="32" xfId="0" applyFont="1" applyBorder="1" applyAlignment="1" applyProtection="1">
      <alignment horizontal="right"/>
      <protection/>
    </xf>
    <xf numFmtId="196" fontId="11" fillId="39" borderId="42" xfId="0" applyNumberFormat="1" applyFont="1" applyFill="1" applyBorder="1" applyAlignment="1" applyProtection="1">
      <alignment/>
      <protection/>
    </xf>
    <xf numFmtId="196" fontId="29" fillId="39" borderId="51" xfId="0" applyNumberFormat="1" applyFont="1" applyFill="1" applyBorder="1" applyAlignment="1" applyProtection="1">
      <alignment/>
      <protection/>
    </xf>
    <xf numFmtId="196" fontId="29" fillId="39" borderId="20" xfId="0" applyNumberFormat="1" applyFont="1" applyFill="1" applyBorder="1" applyAlignment="1" applyProtection="1">
      <alignment/>
      <protection/>
    </xf>
    <xf numFmtId="196" fontId="29" fillId="39" borderId="11" xfId="0" applyNumberFormat="1" applyFont="1" applyFill="1" applyBorder="1" applyAlignment="1" applyProtection="1">
      <alignment/>
      <protection/>
    </xf>
    <xf numFmtId="196" fontId="29" fillId="39" borderId="31" xfId="0" applyNumberFormat="1" applyFont="1" applyFill="1" applyBorder="1" applyAlignment="1" applyProtection="1">
      <alignment/>
      <protection/>
    </xf>
    <xf numFmtId="196" fontId="29" fillId="39" borderId="63" xfId="0" applyNumberFormat="1" applyFont="1" applyFill="1" applyBorder="1" applyAlignment="1" applyProtection="1">
      <alignment/>
      <protection/>
    </xf>
    <xf numFmtId="196" fontId="29" fillId="39" borderId="21" xfId="0" applyNumberFormat="1" applyFont="1" applyFill="1" applyBorder="1" applyAlignment="1" applyProtection="1">
      <alignment/>
      <protection/>
    </xf>
    <xf numFmtId="196" fontId="29" fillId="39" borderId="12" xfId="0" applyNumberFormat="1" applyFont="1" applyFill="1" applyBorder="1" applyAlignment="1" applyProtection="1">
      <alignment/>
      <protection/>
    </xf>
    <xf numFmtId="196" fontId="29" fillId="39" borderId="68" xfId="0" applyNumberFormat="1" applyFont="1" applyFill="1" applyBorder="1" applyAlignment="1" applyProtection="1">
      <alignment/>
      <protection/>
    </xf>
    <xf numFmtId="196" fontId="12" fillId="39" borderId="83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>
      <alignment horizontal="left"/>
    </xf>
    <xf numFmtId="196" fontId="11" fillId="24" borderId="80" xfId="0" applyNumberFormat="1" applyFont="1" applyFill="1" applyBorder="1" applyAlignment="1" applyProtection="1">
      <alignment/>
      <protection/>
    </xf>
    <xf numFmtId="196" fontId="29" fillId="38" borderId="76" xfId="0" applyNumberFormat="1" applyFont="1" applyFill="1" applyBorder="1" applyAlignment="1" applyProtection="1">
      <alignment/>
      <protection/>
    </xf>
    <xf numFmtId="196" fontId="29" fillId="36" borderId="76" xfId="0" applyNumberFormat="1" applyFont="1" applyFill="1" applyBorder="1" applyAlignment="1" applyProtection="1">
      <alignment/>
      <protection locked="0"/>
    </xf>
    <xf numFmtId="196" fontId="29" fillId="38" borderId="77" xfId="0" applyNumberFormat="1" applyFont="1" applyFill="1" applyBorder="1" applyAlignment="1" applyProtection="1">
      <alignment/>
      <protection/>
    </xf>
    <xf numFmtId="196" fontId="29" fillId="38" borderId="35" xfId="0" applyNumberFormat="1" applyFont="1" applyFill="1" applyBorder="1" applyAlignment="1" applyProtection="1">
      <alignment/>
      <protection/>
    </xf>
    <xf numFmtId="0" fontId="11" fillId="0" borderId="30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196" fontId="29" fillId="36" borderId="80" xfId="0" applyNumberFormat="1" applyFont="1" applyFill="1" applyBorder="1" applyAlignment="1" applyProtection="1">
      <alignment/>
      <protection locked="0"/>
    </xf>
    <xf numFmtId="196" fontId="29" fillId="36" borderId="91" xfId="0" applyNumberFormat="1" applyFont="1" applyFill="1" applyBorder="1" applyAlignment="1" applyProtection="1">
      <alignment/>
      <protection locked="0"/>
    </xf>
    <xf numFmtId="0" fontId="29" fillId="36" borderId="92" xfId="0" applyFont="1" applyFill="1" applyBorder="1" applyAlignment="1" applyProtection="1">
      <alignment/>
      <protection locked="0"/>
    </xf>
    <xf numFmtId="196" fontId="29" fillId="0" borderId="31" xfId="0" applyNumberFormat="1" applyFont="1" applyFill="1" applyBorder="1" applyAlignment="1" applyProtection="1">
      <alignment/>
      <protection locked="0"/>
    </xf>
    <xf numFmtId="196" fontId="29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 horizontal="left"/>
    </xf>
    <xf numFmtId="196" fontId="11" fillId="0" borderId="0" xfId="0" applyNumberFormat="1" applyFont="1" applyFill="1" applyBorder="1" applyAlignment="1" applyProtection="1">
      <alignment/>
      <protection locked="0"/>
    </xf>
    <xf numFmtId="196" fontId="11" fillId="0" borderId="31" xfId="0" applyNumberFormat="1" applyFont="1" applyFill="1" applyBorder="1" applyAlignment="1" applyProtection="1">
      <alignment/>
      <protection locked="0"/>
    </xf>
    <xf numFmtId="196" fontId="29" fillId="36" borderId="82" xfId="0" applyNumberFormat="1" applyFont="1" applyFill="1" applyBorder="1" applyAlignment="1" applyProtection="1">
      <alignment/>
      <protection locked="0"/>
    </xf>
    <xf numFmtId="196" fontId="11" fillId="38" borderId="67" xfId="0" applyNumberFormat="1" applyFont="1" applyFill="1" applyBorder="1" applyAlignment="1" applyProtection="1">
      <alignment/>
      <protection locked="0"/>
    </xf>
    <xf numFmtId="196" fontId="12" fillId="0" borderId="31" xfId="0" applyNumberFormat="1" applyFont="1" applyFill="1" applyBorder="1" applyAlignment="1" applyProtection="1">
      <alignment/>
      <protection/>
    </xf>
    <xf numFmtId="1" fontId="5" fillId="0" borderId="0" xfId="58" applyNumberFormat="1" applyFont="1" applyProtection="1">
      <alignment/>
      <protection/>
    </xf>
    <xf numFmtId="1" fontId="5" fillId="0" borderId="0" xfId="58" applyNumberFormat="1" applyFont="1" applyAlignment="1" applyProtection="1">
      <alignment horizontal="center"/>
      <protection/>
    </xf>
    <xf numFmtId="0" fontId="5" fillId="0" borderId="0" xfId="64" applyFont="1" applyProtection="1">
      <alignment/>
      <protection/>
    </xf>
    <xf numFmtId="0" fontId="5" fillId="0" borderId="0" xfId="67" applyFont="1" applyFill="1" applyBorder="1" applyAlignment="1" applyProtection="1">
      <alignment horizontal="center" vertical="center"/>
      <protection/>
    </xf>
    <xf numFmtId="0" fontId="5" fillId="0" borderId="22" xfId="67" applyFont="1" applyFill="1" applyBorder="1" applyAlignment="1" applyProtection="1">
      <alignment horizontal="left" vertical="center"/>
      <protection/>
    </xf>
    <xf numFmtId="0" fontId="10" fillId="0" borderId="22" xfId="67" applyFont="1" applyFill="1" applyBorder="1" applyAlignment="1" applyProtection="1">
      <alignment horizontal="center" vertical="center"/>
      <protection/>
    </xf>
    <xf numFmtId="0" fontId="10" fillId="0" borderId="22" xfId="67" applyFont="1" applyFill="1" applyBorder="1" applyAlignment="1" applyProtection="1">
      <alignment horizontal="left" vertical="center"/>
      <protection/>
    </xf>
    <xf numFmtId="1" fontId="5" fillId="0" borderId="41" xfId="64" applyNumberFormat="1" applyFont="1" applyFill="1" applyBorder="1" applyAlignment="1" applyProtection="1">
      <alignment horizontal="center"/>
      <protection/>
    </xf>
    <xf numFmtId="0" fontId="5" fillId="0" borderId="23" xfId="67" applyFont="1" applyFill="1" applyBorder="1" applyAlignment="1" applyProtection="1">
      <alignment horizontal="center" vertical="center"/>
      <protection/>
    </xf>
    <xf numFmtId="0" fontId="5" fillId="0" borderId="42" xfId="67" applyFont="1" applyFill="1" applyBorder="1" applyAlignment="1" applyProtection="1">
      <alignment horizontal="left" vertical="center" indent="1"/>
      <protection/>
    </xf>
    <xf numFmtId="0" fontId="0" fillId="0" borderId="42" xfId="0" applyBorder="1" applyAlignment="1">
      <alignment horizontal="center"/>
    </xf>
    <xf numFmtId="0" fontId="5" fillId="33" borderId="36" xfId="67" applyFont="1" applyFill="1" applyBorder="1" applyAlignment="1" applyProtection="1">
      <alignment horizontal="center" vertical="center"/>
      <protection/>
    </xf>
    <xf numFmtId="0" fontId="5" fillId="33" borderId="13" xfId="67" applyFont="1" applyFill="1" applyBorder="1" applyAlignment="1" applyProtection="1">
      <alignment horizontal="center" vertical="center"/>
      <protection/>
    </xf>
    <xf numFmtId="0" fontId="16" fillId="36" borderId="13" xfId="67" applyFont="1" applyFill="1" applyBorder="1" applyAlignment="1" applyProtection="1">
      <alignment horizontal="center" vertical="center"/>
      <protection locked="0"/>
    </xf>
    <xf numFmtId="184" fontId="16" fillId="0" borderId="43" xfId="64" applyNumberFormat="1" applyFont="1" applyFill="1" applyBorder="1" applyProtection="1">
      <alignment/>
      <protection/>
    </xf>
    <xf numFmtId="1" fontId="10" fillId="0" borderId="29" xfId="64" applyNumberFormat="1" applyFont="1" applyBorder="1" applyProtection="1">
      <alignment/>
      <protection/>
    </xf>
    <xf numFmtId="1" fontId="10" fillId="0" borderId="30" xfId="64" applyNumberFormat="1" applyFont="1" applyBorder="1" applyProtection="1">
      <alignment/>
      <protection/>
    </xf>
    <xf numFmtId="0" fontId="10" fillId="0" borderId="41" xfId="67" applyFont="1" applyFill="1" applyBorder="1" applyAlignment="1" applyProtection="1">
      <alignment horizontal="left" vertical="center"/>
      <protection/>
    </xf>
    <xf numFmtId="0" fontId="5" fillId="0" borderId="26" xfId="67" applyFont="1" applyFill="1" applyBorder="1" applyAlignment="1" applyProtection="1">
      <alignment horizontal="center" vertical="center"/>
      <protection/>
    </xf>
    <xf numFmtId="0" fontId="0" fillId="0" borderId="42" xfId="0" applyBorder="1" applyAlignment="1">
      <alignment/>
    </xf>
    <xf numFmtId="0" fontId="12" fillId="0" borderId="26" xfId="0" applyFont="1" applyFill="1" applyBorder="1" applyAlignment="1" applyProtection="1">
      <alignment/>
      <protection/>
    </xf>
    <xf numFmtId="184" fontId="11" fillId="24" borderId="76" xfId="0" applyNumberFormat="1" applyFont="1" applyFill="1" applyBorder="1" applyAlignment="1" applyProtection="1">
      <alignment horizontal="right"/>
      <protection/>
    </xf>
    <xf numFmtId="178" fontId="5" fillId="0" borderId="13" xfId="67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49" fillId="0" borderId="0" xfId="0" applyFont="1" applyFill="1" applyBorder="1" applyAlignment="1">
      <alignment vertical="top" wrapText="1"/>
    </xf>
    <xf numFmtId="0" fontId="50" fillId="0" borderId="0" xfId="0" applyFont="1" applyFill="1" applyBorder="1" applyAlignment="1">
      <alignment vertical="top" wrapText="1"/>
    </xf>
    <xf numFmtId="4" fontId="13" fillId="4" borderId="0" xfId="0" applyNumberFormat="1" applyFont="1" applyFill="1" applyAlignment="1">
      <alignment/>
    </xf>
    <xf numFmtId="4" fontId="13" fillId="4" borderId="0" xfId="0" applyNumberFormat="1" applyFont="1" applyFill="1" applyAlignment="1">
      <alignment/>
    </xf>
    <xf numFmtId="0" fontId="2" fillId="0" borderId="17" xfId="0" applyFont="1" applyBorder="1" applyAlignment="1">
      <alignment/>
    </xf>
    <xf numFmtId="0" fontId="2" fillId="0" borderId="12" xfId="0" applyFont="1" applyFill="1" applyBorder="1" applyAlignment="1">
      <alignment/>
    </xf>
    <xf numFmtId="0" fontId="51" fillId="0" borderId="93" xfId="0" applyFont="1" applyBorder="1" applyAlignment="1" applyProtection="1">
      <alignment/>
      <protection locked="0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215" fontId="0" fillId="40" borderId="0" xfId="0" applyNumberFormat="1" applyFill="1" applyAlignment="1" applyProtection="1">
      <alignment/>
      <protection locked="0"/>
    </xf>
    <xf numFmtId="216" fontId="0" fillId="8" borderId="0" xfId="0" applyNumberFormat="1" applyFont="1" applyFill="1" applyAlignment="1" applyProtection="1">
      <alignment horizontal="center"/>
      <protection locked="0"/>
    </xf>
    <xf numFmtId="0" fontId="52" fillId="0" borderId="0" xfId="0" applyFont="1" applyAlignment="1">
      <alignment/>
    </xf>
    <xf numFmtId="178" fontId="2" fillId="0" borderId="10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0" fontId="30" fillId="36" borderId="55" xfId="61" applyNumberFormat="1" applyFont="1" applyFill="1" applyBorder="1" applyAlignment="1" applyProtection="1">
      <alignment horizontal="left" vertical="center"/>
      <protection locked="0"/>
    </xf>
    <xf numFmtId="0" fontId="30" fillId="36" borderId="25" xfId="61" applyNumberFormat="1" applyFont="1" applyFill="1" applyBorder="1" applyAlignment="1" applyProtection="1">
      <alignment horizontal="left" vertical="center"/>
      <protection locked="0"/>
    </xf>
    <xf numFmtId="0" fontId="30" fillId="36" borderId="47" xfId="61" applyNumberFormat="1" applyFont="1" applyFill="1" applyBorder="1" applyAlignment="1" applyProtection="1">
      <alignment horizontal="left" vertical="center"/>
      <protection locked="0"/>
    </xf>
    <xf numFmtId="182" fontId="6" fillId="8" borderId="0" xfId="42" applyNumberFormat="1" applyFont="1" applyFill="1" applyAlignment="1">
      <alignment/>
    </xf>
    <xf numFmtId="182" fontId="6" fillId="0" borderId="27" xfId="42" applyNumberFormat="1" applyFont="1" applyBorder="1" applyAlignment="1">
      <alignment/>
    </xf>
    <xf numFmtId="182" fontId="6" fillId="31" borderId="0" xfId="42" applyNumberFormat="1" applyFont="1" applyFill="1" applyBorder="1" applyAlignment="1">
      <alignment/>
    </xf>
    <xf numFmtId="182" fontId="6" fillId="0" borderId="0" xfId="42" applyNumberFormat="1" applyFont="1" applyAlignment="1">
      <alignment/>
    </xf>
    <xf numFmtId="182" fontId="6" fillId="31" borderId="25" xfId="42" applyNumberFormat="1" applyFont="1" applyFill="1" applyBorder="1" applyAlignment="1">
      <alignment/>
    </xf>
    <xf numFmtId="182" fontId="6" fillId="0" borderId="0" xfId="0" applyNumberFormat="1" applyFont="1" applyAlignment="1">
      <alignment/>
    </xf>
    <xf numFmtId="182" fontId="6" fillId="41" borderId="0" xfId="42" applyNumberFormat="1" applyFont="1" applyFill="1" applyAlignment="1">
      <alignment/>
    </xf>
    <xf numFmtId="182" fontId="6" fillId="31" borderId="25" xfId="0" applyNumberFormat="1" applyFont="1" applyFill="1" applyBorder="1" applyAlignment="1">
      <alignment/>
    </xf>
    <xf numFmtId="182" fontId="6" fillId="8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3" fontId="0" fillId="0" borderId="63" xfId="61" applyNumberFormat="1" applyFont="1" applyFill="1" applyBorder="1" applyAlignment="1" applyProtection="1">
      <alignment horizontal="center" vertical="center"/>
      <protection/>
    </xf>
    <xf numFmtId="183" fontId="0" fillId="0" borderId="21" xfId="61" applyNumberFormat="1" applyFont="1" applyFill="1" applyBorder="1" applyAlignment="1" applyProtection="1">
      <alignment horizontal="center" vertical="center"/>
      <protection/>
    </xf>
    <xf numFmtId="183" fontId="0" fillId="0" borderId="64" xfId="61" applyNumberFormat="1" applyFont="1" applyFill="1" applyBorder="1" applyAlignment="1" applyProtection="1">
      <alignment horizontal="center" vertical="center"/>
      <protection/>
    </xf>
    <xf numFmtId="183" fontId="0" fillId="0" borderId="12" xfId="61" applyNumberFormat="1" applyFont="1" applyFill="1" applyBorder="1" applyAlignment="1" applyProtection="1">
      <alignment horizontal="center" vertical="center"/>
      <protection/>
    </xf>
    <xf numFmtId="178" fontId="0" fillId="37" borderId="37" xfId="71" applyNumberFormat="1" applyFont="1" applyFill="1" applyBorder="1" applyAlignment="1" applyProtection="1">
      <alignment horizontal="center" vertical="center"/>
      <protection/>
    </xf>
    <xf numFmtId="183" fontId="0" fillId="0" borderId="36" xfId="61" applyNumberFormat="1" applyFont="1" applyFill="1" applyBorder="1" applyAlignment="1" applyProtection="1">
      <alignment horizontal="center" vertical="center"/>
      <protection/>
    </xf>
    <xf numFmtId="183" fontId="0" fillId="0" borderId="14" xfId="61" applyNumberFormat="1" applyFont="1" applyFill="1" applyBorder="1" applyAlignment="1" applyProtection="1">
      <alignment horizontal="center" vertical="center"/>
      <protection/>
    </xf>
    <xf numFmtId="183" fontId="0" fillId="0" borderId="37" xfId="61" applyNumberFormat="1" applyFont="1" applyFill="1" applyBorder="1" applyAlignment="1" applyProtection="1">
      <alignment horizontal="center" vertical="center"/>
      <protection/>
    </xf>
    <xf numFmtId="183" fontId="0" fillId="0" borderId="13" xfId="61" applyNumberFormat="1" applyFont="1" applyFill="1" applyBorder="1" applyAlignment="1" applyProtection="1">
      <alignment horizontal="center" vertical="center"/>
      <protection/>
    </xf>
    <xf numFmtId="183" fontId="2" fillId="37" borderId="36" xfId="61" applyNumberFormat="1" applyFont="1" applyFill="1" applyBorder="1" applyAlignment="1" applyProtection="1">
      <alignment horizontal="center" vertical="center"/>
      <protection/>
    </xf>
    <xf numFmtId="183" fontId="2" fillId="37" borderId="13" xfId="61" applyNumberFormat="1" applyFont="1" applyFill="1" applyBorder="1" applyAlignment="1" applyProtection="1">
      <alignment horizontal="center" vertical="center"/>
      <protection/>
    </xf>
    <xf numFmtId="183" fontId="2" fillId="37" borderId="37" xfId="61" applyNumberFormat="1" applyFont="1" applyFill="1" applyBorder="1" applyAlignment="1" applyProtection="1">
      <alignment horizontal="center" vertical="center"/>
      <protection/>
    </xf>
    <xf numFmtId="183" fontId="2" fillId="37" borderId="14" xfId="61" applyNumberFormat="1" applyFont="1" applyFill="1" applyBorder="1" applyAlignment="1" applyProtection="1">
      <alignment horizontal="center" vertical="center"/>
      <protection/>
    </xf>
    <xf numFmtId="183" fontId="2" fillId="37" borderId="38" xfId="61" applyNumberFormat="1" applyFont="1" applyFill="1" applyBorder="1" applyAlignment="1" applyProtection="1">
      <alignment horizontal="center" vertical="center"/>
      <protection/>
    </xf>
    <xf numFmtId="183" fontId="2" fillId="37" borderId="39" xfId="61" applyNumberFormat="1" applyFont="1" applyFill="1" applyBorder="1" applyAlignment="1" applyProtection="1">
      <alignment horizontal="center" vertical="center"/>
      <protection/>
    </xf>
    <xf numFmtId="183" fontId="2" fillId="37" borderId="40" xfId="61" applyNumberFormat="1" applyFont="1" applyFill="1" applyBorder="1" applyAlignment="1" applyProtection="1">
      <alignment horizontal="center" vertical="center"/>
      <protection/>
    </xf>
    <xf numFmtId="183" fontId="2" fillId="37" borderId="44" xfId="61" applyNumberFormat="1" applyFont="1" applyFill="1" applyBorder="1" applyAlignment="1" applyProtection="1">
      <alignment horizontal="center" vertical="center"/>
      <protection/>
    </xf>
    <xf numFmtId="178" fontId="0" fillId="37" borderId="40" xfId="71" applyNumberFormat="1" applyFont="1" applyFill="1" applyBorder="1" applyAlignment="1" applyProtection="1">
      <alignment horizontal="center" vertical="center"/>
      <protection/>
    </xf>
    <xf numFmtId="0" fontId="2" fillId="0" borderId="57" xfId="61" applyFont="1" applyBorder="1" applyAlignment="1" applyProtection="1">
      <alignment horizontal="centerContinuous" vertical="center"/>
      <protection/>
    </xf>
    <xf numFmtId="0" fontId="2" fillId="0" borderId="58" xfId="61" applyFont="1" applyBorder="1" applyAlignment="1" applyProtection="1">
      <alignment horizontal="centerContinuous" vertical="center"/>
      <protection/>
    </xf>
    <xf numFmtId="0" fontId="2" fillId="0" borderId="63" xfId="61" applyFont="1" applyBorder="1" applyAlignment="1" applyProtection="1">
      <alignment horizontal="center" vertical="center" wrapText="1"/>
      <protection/>
    </xf>
    <xf numFmtId="0" fontId="2" fillId="0" borderId="12" xfId="61" applyFont="1" applyBorder="1" applyAlignment="1" applyProtection="1">
      <alignment horizontal="center" vertical="center" wrapText="1"/>
      <protection/>
    </xf>
    <xf numFmtId="0" fontId="2" fillId="0" borderId="64" xfId="61" applyFont="1" applyBorder="1" applyAlignment="1" applyProtection="1">
      <alignment horizontal="center" vertical="center" wrapText="1"/>
      <protection/>
    </xf>
    <xf numFmtId="0" fontId="2" fillId="0" borderId="21" xfId="61" applyFont="1" applyBorder="1" applyAlignment="1" applyProtection="1">
      <alignment horizontal="center" vertical="center" wrapText="1"/>
      <protection/>
    </xf>
    <xf numFmtId="183" fontId="0" fillId="36" borderId="36" xfId="61" applyNumberFormat="1" applyFont="1" applyFill="1" applyBorder="1" applyAlignment="1" applyProtection="1">
      <alignment horizontal="center" vertical="center"/>
      <protection locked="0"/>
    </xf>
    <xf numFmtId="0" fontId="2" fillId="0" borderId="69" xfId="61" applyFont="1" applyBorder="1" applyAlignment="1" applyProtection="1">
      <alignment horizontal="center" vertical="center"/>
      <protection/>
    </xf>
    <xf numFmtId="0" fontId="2" fillId="0" borderId="24" xfId="61" applyFont="1" applyBorder="1" applyAlignment="1" applyProtection="1">
      <alignment horizontal="center" vertical="center"/>
      <protection/>
    </xf>
    <xf numFmtId="0" fontId="2" fillId="0" borderId="70" xfId="61" applyFont="1" applyBorder="1" applyAlignment="1" applyProtection="1">
      <alignment horizontal="center" vertical="center"/>
      <protection/>
    </xf>
    <xf numFmtId="0" fontId="2" fillId="0" borderId="26" xfId="61" applyFont="1" applyBorder="1" applyAlignment="1" applyProtection="1">
      <alignment horizontal="center" vertical="center"/>
      <protection/>
    </xf>
    <xf numFmtId="0" fontId="2" fillId="0" borderId="0" xfId="61" applyFont="1" applyBorder="1" applyAlignment="1" applyProtection="1">
      <alignment horizontal="center" vertical="center"/>
      <protection/>
    </xf>
    <xf numFmtId="0" fontId="2" fillId="0" borderId="31" xfId="61" applyFont="1" applyBorder="1" applyAlignment="1" applyProtection="1">
      <alignment horizontal="center" vertical="center"/>
      <protection/>
    </xf>
    <xf numFmtId="1" fontId="2" fillId="0" borderId="26" xfId="61" applyNumberFormat="1" applyFont="1" applyBorder="1" applyAlignment="1" applyProtection="1">
      <alignment horizontal="center" vertical="center"/>
      <protection/>
    </xf>
    <xf numFmtId="1" fontId="2" fillId="0" borderId="0" xfId="61" applyNumberFormat="1" applyFont="1" applyBorder="1" applyAlignment="1" applyProtection="1">
      <alignment horizontal="center" vertical="center"/>
      <protection/>
    </xf>
    <xf numFmtId="1" fontId="2" fillId="0" borderId="31" xfId="61" applyNumberFormat="1" applyFont="1" applyBorder="1" applyAlignment="1" applyProtection="1">
      <alignment horizontal="center" vertical="center"/>
      <protection/>
    </xf>
    <xf numFmtId="1" fontId="2" fillId="37" borderId="36" xfId="61" applyNumberFormat="1" applyFont="1" applyFill="1" applyBorder="1" applyAlignment="1" applyProtection="1">
      <alignment horizontal="center" vertical="center"/>
      <protection/>
    </xf>
    <xf numFmtId="1" fontId="2" fillId="37" borderId="13" xfId="61" applyNumberFormat="1" applyFont="1" applyFill="1" applyBorder="1" applyAlignment="1" applyProtection="1">
      <alignment horizontal="center" vertical="center"/>
      <protection/>
    </xf>
    <xf numFmtId="1" fontId="2" fillId="37" borderId="37" xfId="61" applyNumberFormat="1" applyFont="1" applyFill="1" applyBorder="1" applyAlignment="1" applyProtection="1">
      <alignment horizontal="center" vertical="center"/>
      <protection/>
    </xf>
    <xf numFmtId="1" fontId="2" fillId="37" borderId="14" xfId="61" applyNumberFormat="1" applyFont="1" applyFill="1" applyBorder="1" applyAlignment="1" applyProtection="1">
      <alignment horizontal="center" vertical="center"/>
      <protection/>
    </xf>
    <xf numFmtId="1" fontId="2" fillId="37" borderId="38" xfId="61" applyNumberFormat="1" applyFont="1" applyFill="1" applyBorder="1" applyAlignment="1" applyProtection="1">
      <alignment horizontal="center" vertical="center"/>
      <protection/>
    </xf>
    <xf numFmtId="1" fontId="2" fillId="37" borderId="39" xfId="61" applyNumberFormat="1" applyFont="1" applyFill="1" applyBorder="1" applyAlignment="1" applyProtection="1">
      <alignment horizontal="center" vertical="center"/>
      <protection/>
    </xf>
    <xf numFmtId="1" fontId="2" fillId="37" borderId="40" xfId="61" applyNumberFormat="1" applyFont="1" applyFill="1" applyBorder="1" applyAlignment="1" applyProtection="1">
      <alignment horizontal="center" vertical="center"/>
      <protection/>
    </xf>
    <xf numFmtId="1" fontId="2" fillId="37" borderId="44" xfId="61" applyNumberFormat="1" applyFont="1" applyFill="1" applyBorder="1" applyAlignment="1" applyProtection="1">
      <alignment horizontal="center" vertical="center"/>
      <protection/>
    </xf>
    <xf numFmtId="0" fontId="2" fillId="0" borderId="60" xfId="61" applyFont="1" applyBorder="1" applyAlignment="1" applyProtection="1">
      <alignment horizontal="centerContinuous" vertical="center"/>
      <protection/>
    </xf>
    <xf numFmtId="0" fontId="2" fillId="0" borderId="61" xfId="61" applyFont="1" applyBorder="1" applyAlignment="1" applyProtection="1">
      <alignment horizontal="centerContinuous" vertical="center"/>
      <protection/>
    </xf>
    <xf numFmtId="0" fontId="2" fillId="0" borderId="62" xfId="61" applyFont="1" applyBorder="1" applyAlignment="1" applyProtection="1">
      <alignment horizontal="centerContinuous" vertical="center"/>
      <protection/>
    </xf>
    <xf numFmtId="0" fontId="2" fillId="0" borderId="36" xfId="61" applyFont="1" applyBorder="1" applyAlignment="1" applyProtection="1">
      <alignment horizontal="center" vertical="center" wrapText="1"/>
      <protection/>
    </xf>
    <xf numFmtId="0" fontId="2" fillId="0" borderId="13" xfId="61" applyFont="1" applyBorder="1" applyAlignment="1" applyProtection="1">
      <alignment horizontal="center" vertical="center" wrapText="1"/>
      <protection/>
    </xf>
    <xf numFmtId="0" fontId="2" fillId="0" borderId="37" xfId="61" applyFont="1" applyBorder="1" applyAlignment="1" applyProtection="1">
      <alignment horizontal="center" vertical="center" wrapText="1"/>
      <protection/>
    </xf>
    <xf numFmtId="178" fontId="2" fillId="37" borderId="37" xfId="71" applyNumberFormat="1" applyFont="1" applyFill="1" applyBorder="1" applyAlignment="1" applyProtection="1">
      <alignment horizontal="center" vertical="center"/>
      <protection/>
    </xf>
    <xf numFmtId="178" fontId="2" fillId="37" borderId="40" xfId="71" applyNumberFormat="1" applyFont="1" applyFill="1" applyBorder="1" applyAlignment="1" applyProtection="1">
      <alignment horizontal="center" vertical="center"/>
      <protection/>
    </xf>
    <xf numFmtId="178" fontId="0" fillId="37" borderId="64" xfId="71" applyNumberFormat="1" applyFont="1" applyFill="1" applyBorder="1" applyAlignment="1" applyProtection="1">
      <alignment horizontal="center" vertical="center"/>
      <protection/>
    </xf>
    <xf numFmtId="183" fontId="0" fillId="0" borderId="38" xfId="61" applyNumberFormat="1" applyFont="1" applyFill="1" applyBorder="1" applyAlignment="1" applyProtection="1">
      <alignment horizontal="center" vertical="center"/>
      <protection/>
    </xf>
    <xf numFmtId="183" fontId="0" fillId="0" borderId="44" xfId="61" applyNumberFormat="1" applyFont="1" applyFill="1" applyBorder="1" applyAlignment="1" applyProtection="1">
      <alignment horizontal="center" vertical="center"/>
      <protection/>
    </xf>
    <xf numFmtId="183" fontId="0" fillId="0" borderId="40" xfId="61" applyNumberFormat="1" applyFont="1" applyFill="1" applyBorder="1" applyAlignment="1" applyProtection="1">
      <alignment horizontal="center" vertical="center"/>
      <protection/>
    </xf>
    <xf numFmtId="183" fontId="0" fillId="0" borderId="39" xfId="61" applyNumberFormat="1" applyFont="1" applyFill="1" applyBorder="1" applyAlignment="1" applyProtection="1">
      <alignment horizontal="center" vertical="center"/>
      <protection/>
    </xf>
    <xf numFmtId="178" fontId="2" fillId="37" borderId="37" xfId="61" applyNumberFormat="1" applyFont="1" applyFill="1" applyBorder="1" applyAlignment="1" applyProtection="1">
      <alignment horizontal="center" vertical="center"/>
      <protection/>
    </xf>
    <xf numFmtId="178" fontId="0" fillId="0" borderId="31" xfId="71" applyNumberFormat="1" applyFont="1" applyBorder="1" applyAlignment="1" applyProtection="1">
      <alignment horizontal="center" vertical="center"/>
      <protection/>
    </xf>
    <xf numFmtId="0" fontId="2" fillId="0" borderId="86" xfId="61" applyFont="1" applyBorder="1" applyAlignment="1" applyProtection="1">
      <alignment horizontal="centerContinuous" vertical="center"/>
      <protection/>
    </xf>
    <xf numFmtId="0" fontId="2" fillId="0" borderId="22" xfId="61" applyFont="1" applyBorder="1" applyAlignment="1" applyProtection="1">
      <alignment horizontal="centerContinuous"/>
      <protection/>
    </xf>
    <xf numFmtId="0" fontId="2" fillId="0" borderId="13" xfId="61" applyNumberFormat="1" applyFont="1" applyBorder="1" applyAlignment="1" applyProtection="1">
      <alignment horizontal="center" vertical="center" wrapText="1"/>
      <protection/>
    </xf>
    <xf numFmtId="0" fontId="2" fillId="0" borderId="13" xfId="61" applyFont="1" applyBorder="1" applyAlignment="1" applyProtection="1">
      <alignment horizontal="center" vertical="center"/>
      <protection/>
    </xf>
    <xf numFmtId="0" fontId="2" fillId="0" borderId="18" xfId="61" applyFont="1" applyBorder="1" applyAlignment="1" applyProtection="1">
      <alignment horizontal="center" vertical="center"/>
      <protection/>
    </xf>
    <xf numFmtId="0" fontId="2" fillId="0" borderId="36" xfId="61" applyFont="1" applyBorder="1" applyAlignment="1" applyProtection="1">
      <alignment horizontal="center" vertical="center"/>
      <protection/>
    </xf>
    <xf numFmtId="0" fontId="2" fillId="0" borderId="37" xfId="61" applyFont="1" applyBorder="1" applyAlignment="1" applyProtection="1">
      <alignment horizontal="center" vertical="center"/>
      <protection/>
    </xf>
    <xf numFmtId="0" fontId="2" fillId="0" borderId="63" xfId="61" applyFont="1" applyFill="1" applyBorder="1" applyAlignment="1" applyProtection="1">
      <alignment horizontal="center" vertical="center"/>
      <protection/>
    </xf>
    <xf numFmtId="0" fontId="2" fillId="0" borderId="12" xfId="61" applyFont="1" applyFill="1" applyBorder="1" applyAlignment="1" applyProtection="1">
      <alignment horizontal="center" vertical="center"/>
      <protection/>
    </xf>
    <xf numFmtId="0" fontId="2" fillId="0" borderId="64" xfId="61" applyFont="1" applyFill="1" applyBorder="1" applyAlignment="1" applyProtection="1">
      <alignment horizontal="center" vertical="center"/>
      <protection/>
    </xf>
    <xf numFmtId="0" fontId="0" fillId="0" borderId="23" xfId="59" applyFont="1" applyBorder="1" applyProtection="1">
      <alignment/>
      <protection/>
    </xf>
    <xf numFmtId="0" fontId="0" fillId="0" borderId="60" xfId="59" applyFont="1" applyBorder="1" applyAlignment="1" applyProtection="1">
      <alignment horizontal="centerContinuous" vertical="center"/>
      <protection/>
    </xf>
    <xf numFmtId="0" fontId="0" fillId="0" borderId="61" xfId="59" applyFont="1" applyBorder="1" applyAlignment="1" applyProtection="1">
      <alignment horizontal="centerContinuous" vertical="center"/>
      <protection/>
    </xf>
    <xf numFmtId="0" fontId="0" fillId="0" borderId="62" xfId="59" applyFont="1" applyBorder="1" applyAlignment="1" applyProtection="1">
      <alignment horizontal="centerContinuous" vertical="center"/>
      <protection/>
    </xf>
    <xf numFmtId="0" fontId="0" fillId="0" borderId="0" xfId="61" applyFont="1" applyProtection="1">
      <alignment/>
      <protection/>
    </xf>
    <xf numFmtId="0" fontId="0" fillId="0" borderId="27" xfId="59" applyFont="1" applyBorder="1" applyProtection="1">
      <alignment/>
      <protection/>
    </xf>
    <xf numFmtId="0" fontId="0" fillId="0" borderId="36" xfId="59" applyFont="1" applyBorder="1" applyAlignment="1" applyProtection="1">
      <alignment horizontal="center"/>
      <protection/>
    </xf>
    <xf numFmtId="0" fontId="0" fillId="0" borderId="13" xfId="59" applyFont="1" applyBorder="1" applyAlignment="1" applyProtection="1">
      <alignment horizontal="center"/>
      <protection/>
    </xf>
    <xf numFmtId="0" fontId="0" fillId="0" borderId="37" xfId="59" applyFont="1" applyBorder="1" applyAlignment="1" applyProtection="1">
      <alignment horizontal="center"/>
      <protection/>
    </xf>
    <xf numFmtId="0" fontId="0" fillId="0" borderId="31" xfId="59" applyFont="1" applyBorder="1" applyProtection="1">
      <alignment/>
      <protection/>
    </xf>
    <xf numFmtId="0" fontId="0" fillId="0" borderId="32" xfId="59" applyFont="1" applyBorder="1" applyProtection="1">
      <alignment/>
      <protection/>
    </xf>
    <xf numFmtId="0" fontId="0" fillId="0" borderId="0" xfId="59" applyFont="1" applyBorder="1" applyProtection="1">
      <alignment/>
      <protection/>
    </xf>
    <xf numFmtId="0" fontId="0" fillId="0" borderId="59" xfId="61" applyFont="1" applyBorder="1" applyAlignment="1" applyProtection="1">
      <alignment horizontal="centerContinuous" vertical="center"/>
      <protection/>
    </xf>
    <xf numFmtId="0" fontId="0" fillId="0" borderId="58" xfId="61" applyFont="1" applyBorder="1" applyAlignment="1" applyProtection="1">
      <alignment horizontal="centerContinuous" vertical="center"/>
      <protection/>
    </xf>
    <xf numFmtId="0" fontId="0" fillId="0" borderId="26" xfId="61" applyFont="1" applyFill="1" applyBorder="1" applyAlignment="1" applyProtection="1">
      <alignment horizontal="center"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ont="1" applyFill="1" applyBorder="1" applyAlignment="1" applyProtection="1">
      <alignment horizontal="center"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0" fillId="0" borderId="31" xfId="61" applyFont="1" applyBorder="1" applyAlignment="1" applyProtection="1">
      <alignment horizontal="center" vertical="center"/>
      <protection/>
    </xf>
    <xf numFmtId="9" fontId="0" fillId="0" borderId="31" xfId="71" applyFont="1" applyBorder="1" applyAlignment="1" applyProtection="1">
      <alignment horizontal="center" vertical="center"/>
      <protection/>
    </xf>
    <xf numFmtId="183" fontId="0" fillId="37" borderId="36" xfId="61" applyNumberFormat="1" applyFont="1" applyFill="1" applyBorder="1" applyAlignment="1" applyProtection="1">
      <alignment horizontal="center" vertical="center"/>
      <protection/>
    </xf>
    <xf numFmtId="183" fontId="0" fillId="37" borderId="13" xfId="61" applyNumberFormat="1" applyFont="1" applyFill="1" applyBorder="1" applyAlignment="1" applyProtection="1">
      <alignment horizontal="center" vertical="center"/>
      <protection/>
    </xf>
    <xf numFmtId="183" fontId="0" fillId="37" borderId="37" xfId="61" applyNumberFormat="1" applyFont="1" applyFill="1" applyBorder="1" applyAlignment="1" applyProtection="1">
      <alignment horizontal="center" vertical="center"/>
      <protection/>
    </xf>
    <xf numFmtId="178" fontId="0" fillId="37" borderId="37" xfId="72" applyNumberFormat="1" applyFont="1" applyFill="1" applyBorder="1" applyAlignment="1" applyProtection="1">
      <alignment horizontal="center" vertical="center"/>
      <protection/>
    </xf>
    <xf numFmtId="178" fontId="0" fillId="37" borderId="40" xfId="72" applyNumberFormat="1" applyFont="1" applyFill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/>
      <protection/>
    </xf>
    <xf numFmtId="0" fontId="0" fillId="0" borderId="56" xfId="0" applyFont="1" applyBorder="1" applyAlignment="1" applyProtection="1">
      <alignment/>
      <protection/>
    </xf>
    <xf numFmtId="0" fontId="0" fillId="0" borderId="51" xfId="0" applyFont="1" applyBorder="1" applyAlignment="1" applyProtection="1">
      <alignment/>
      <protection/>
    </xf>
    <xf numFmtId="0" fontId="0" fillId="0" borderId="65" xfId="0" applyFont="1" applyBorder="1" applyAlignment="1" applyProtection="1">
      <alignment/>
      <protection/>
    </xf>
    <xf numFmtId="2" fontId="0" fillId="0" borderId="51" xfId="0" applyNumberFormat="1" applyFont="1" applyBorder="1" applyAlignment="1" applyProtection="1">
      <alignment horizontal="center" vertical="center"/>
      <protection/>
    </xf>
    <xf numFmtId="2" fontId="0" fillId="0" borderId="65" xfId="0" applyNumberFormat="1" applyFont="1" applyBorder="1" applyAlignment="1" applyProtection="1">
      <alignment horizontal="center" vertical="center"/>
      <protection/>
    </xf>
    <xf numFmtId="2" fontId="0" fillId="38" borderId="36" xfId="66" applyNumberFormat="1" applyFont="1" applyFill="1" applyBorder="1" applyAlignment="1" applyProtection="1">
      <alignment horizontal="center" vertical="center"/>
      <protection/>
    </xf>
    <xf numFmtId="2" fontId="0" fillId="38" borderId="37" xfId="66" applyNumberFormat="1" applyFont="1" applyFill="1" applyBorder="1" applyAlignment="1" applyProtection="1">
      <alignment horizontal="center" vertical="center"/>
      <protection/>
    </xf>
    <xf numFmtId="2" fontId="0" fillId="0" borderId="52" xfId="0" applyNumberFormat="1" applyFont="1" applyBorder="1" applyAlignment="1" applyProtection="1">
      <alignment horizontal="center" vertical="center"/>
      <protection/>
    </xf>
    <xf numFmtId="2" fontId="0" fillId="0" borderId="66" xfId="0" applyNumberFormat="1" applyFont="1" applyBorder="1" applyAlignment="1" applyProtection="1">
      <alignment horizontal="center" vertical="center"/>
      <protection/>
    </xf>
    <xf numFmtId="2" fontId="0" fillId="0" borderId="38" xfId="0" applyNumberFormat="1" applyFont="1" applyBorder="1" applyAlignment="1" applyProtection="1">
      <alignment horizontal="center" vertical="center"/>
      <protection/>
    </xf>
    <xf numFmtId="2" fontId="0" fillId="0" borderId="40" xfId="0" applyNumberFormat="1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2" fontId="0" fillId="0" borderId="48" xfId="0" applyNumberFormat="1" applyFont="1" applyBorder="1" applyAlignment="1" applyProtection="1">
      <alignment horizontal="center" vertical="center"/>
      <protection/>
    </xf>
    <xf numFmtId="2" fontId="0" fillId="0" borderId="56" xfId="0" applyNumberFormat="1" applyFont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6" fontId="0" fillId="0" borderId="31" xfId="0" applyNumberFormat="1" applyFont="1" applyFill="1" applyBorder="1" applyAlignment="1">
      <alignment/>
    </xf>
    <xf numFmtId="196" fontId="0" fillId="0" borderId="0" xfId="0" applyNumberFormat="1" applyFont="1" applyFill="1" applyBorder="1" applyAlignment="1">
      <alignment/>
    </xf>
    <xf numFmtId="196" fontId="0" fillId="0" borderId="30" xfId="0" applyNumberFormat="1" applyFont="1" applyFill="1" applyBorder="1" applyAlignment="1">
      <alignment/>
    </xf>
    <xf numFmtId="196" fontId="0" fillId="0" borderId="32" xfId="0" applyNumberFormat="1" applyFont="1" applyFill="1" applyBorder="1" applyAlignment="1">
      <alignment/>
    </xf>
    <xf numFmtId="196" fontId="0" fillId="0" borderId="23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" fillId="8" borderId="24" xfId="0" applyFont="1" applyFill="1" applyBorder="1" applyAlignment="1">
      <alignment vertical="top" wrapText="1"/>
    </xf>
    <xf numFmtId="216" fontId="0" fillId="8" borderId="0" xfId="0" applyNumberFormat="1" applyFill="1" applyAlignment="1" applyProtection="1" quotePrefix="1">
      <alignment horizontal="center"/>
      <protection locked="0"/>
    </xf>
    <xf numFmtId="0" fontId="2" fillId="8" borderId="24" xfId="0" applyFont="1" applyFill="1" applyBorder="1" applyAlignment="1">
      <alignment horizontal="center" vertical="top" wrapText="1"/>
    </xf>
    <xf numFmtId="0" fontId="2" fillId="8" borderId="19" xfId="0" applyFont="1" applyFill="1" applyBorder="1" applyAlignment="1">
      <alignment horizontal="center" vertical="top" wrapText="1"/>
    </xf>
    <xf numFmtId="0" fontId="0" fillId="36" borderId="22" xfId="0" applyFill="1" applyBorder="1" applyAlignment="1">
      <alignment horizontal="center"/>
    </xf>
    <xf numFmtId="0" fontId="0" fillId="36" borderId="23" xfId="0" applyFill="1" applyBorder="1" applyAlignment="1">
      <alignment/>
    </xf>
    <xf numFmtId="0" fontId="0" fillId="36" borderId="23" xfId="0" applyFill="1" applyBorder="1" applyAlignment="1">
      <alignment horizontal="center"/>
    </xf>
    <xf numFmtId="0" fontId="0" fillId="36" borderId="28" xfId="0" applyFill="1" applyBorder="1" applyAlignment="1">
      <alignment/>
    </xf>
    <xf numFmtId="0" fontId="0" fillId="36" borderId="24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9" fontId="0" fillId="36" borderId="15" xfId="71" applyFont="1" applyFill="1" applyBorder="1" applyAlignment="1">
      <alignment horizontal="center"/>
    </xf>
    <xf numFmtId="9" fontId="0" fillId="36" borderId="24" xfId="7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8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24" fillId="0" borderId="0" xfId="68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83" fontId="11" fillId="0" borderId="15" xfId="68" applyNumberFormat="1" applyFont="1" applyBorder="1" applyAlignment="1" applyProtection="1">
      <alignment horizontal="center" vertical="center" wrapText="1"/>
      <protection/>
    </xf>
    <xf numFmtId="183" fontId="11" fillId="0" borderId="24" xfId="68" applyNumberFormat="1" applyFont="1" applyBorder="1" applyAlignment="1" applyProtection="1">
      <alignment horizontal="center" vertical="center" wrapText="1"/>
      <protection/>
    </xf>
    <xf numFmtId="183" fontId="11" fillId="0" borderId="19" xfId="68" applyNumberFormat="1" applyFont="1" applyBorder="1" applyAlignment="1" applyProtection="1">
      <alignment horizontal="center" vertical="center" wrapText="1"/>
      <protection/>
    </xf>
    <xf numFmtId="183" fontId="2" fillId="0" borderId="13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13" fillId="0" borderId="27" xfId="0" applyFont="1" applyFill="1" applyBorder="1" applyAlignment="1">
      <alignment horizontal="center" vertical="top" wrapText="1"/>
    </xf>
    <xf numFmtId="0" fontId="2" fillId="8" borderId="18" xfId="0" applyFont="1" applyFill="1" applyBorder="1" applyAlignment="1">
      <alignment horizontal="center" wrapText="1"/>
    </xf>
    <xf numFmtId="0" fontId="2" fillId="8" borderId="25" xfId="0" applyFont="1" applyFill="1" applyBorder="1" applyAlignment="1">
      <alignment horizontal="center" wrapText="1"/>
    </xf>
    <xf numFmtId="0" fontId="2" fillId="8" borderId="14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1" fontId="12" fillId="0" borderId="26" xfId="64" applyNumberFormat="1" applyFont="1" applyBorder="1" applyAlignment="1" applyProtection="1">
      <alignment horizontal="center" vertical="center" wrapText="1"/>
      <protection/>
    </xf>
    <xf numFmtId="1" fontId="12" fillId="0" borderId="31" xfId="64" applyNumberFormat="1" applyFont="1" applyBorder="1" applyAlignment="1" applyProtection="1">
      <alignment horizontal="center" vertical="center" wrapText="1"/>
      <protection/>
    </xf>
    <xf numFmtId="1" fontId="12" fillId="0" borderId="0" xfId="64" applyNumberFormat="1" applyFont="1" applyBorder="1" applyAlignment="1" applyProtection="1">
      <alignment horizontal="center" vertical="center" wrapText="1"/>
      <protection/>
    </xf>
    <xf numFmtId="1" fontId="12" fillId="0" borderId="34" xfId="64" applyNumberFormat="1" applyFont="1" applyBorder="1" applyAlignment="1" applyProtection="1">
      <alignment horizontal="center"/>
      <protection/>
    </xf>
    <xf numFmtId="1" fontId="12" fillId="0" borderId="35" xfId="64" applyNumberFormat="1" applyFont="1" applyBorder="1" applyAlignment="1" applyProtection="1">
      <alignment horizontal="center"/>
      <protection/>
    </xf>
    <xf numFmtId="1" fontId="12" fillId="0" borderId="34" xfId="64" applyNumberFormat="1" applyFont="1" applyBorder="1" applyAlignment="1" applyProtection="1" quotePrefix="1">
      <alignment horizontal="center"/>
      <protection/>
    </xf>
    <xf numFmtId="0" fontId="30" fillId="36" borderId="55" xfId="61" applyNumberFormat="1" applyFont="1" applyFill="1" applyBorder="1" applyAlignment="1" applyProtection="1">
      <alignment horizontal="left" vertical="center"/>
      <protection locked="0"/>
    </xf>
    <xf numFmtId="0" fontId="30" fillId="36" borderId="25" xfId="61" applyNumberFormat="1" applyFont="1" applyFill="1" applyBorder="1" applyAlignment="1" applyProtection="1">
      <alignment horizontal="left" vertical="center"/>
      <protection locked="0"/>
    </xf>
    <xf numFmtId="0" fontId="30" fillId="36" borderId="47" xfId="61" applyNumberFormat="1" applyFont="1" applyFill="1" applyBorder="1" applyAlignment="1" applyProtection="1">
      <alignment horizontal="left" vertical="center"/>
      <protection locked="0"/>
    </xf>
    <xf numFmtId="0" fontId="30" fillId="36" borderId="69" xfId="61" applyNumberFormat="1" applyFont="1" applyFill="1" applyBorder="1" applyAlignment="1" applyProtection="1">
      <alignment horizontal="left" vertical="center"/>
      <protection locked="0"/>
    </xf>
    <xf numFmtId="0" fontId="30" fillId="36" borderId="24" xfId="61" applyNumberFormat="1" applyFont="1" applyFill="1" applyBorder="1" applyAlignment="1" applyProtection="1">
      <alignment horizontal="left" vertical="center"/>
      <protection locked="0"/>
    </xf>
    <xf numFmtId="0" fontId="30" fillId="36" borderId="70" xfId="61" applyNumberFormat="1" applyFont="1" applyFill="1" applyBorder="1" applyAlignment="1" applyProtection="1">
      <alignment horizontal="left" vertical="center"/>
      <protection locked="0"/>
    </xf>
    <xf numFmtId="0" fontId="8" fillId="0" borderId="55" xfId="61" applyFont="1" applyBorder="1" applyAlignment="1" applyProtection="1">
      <alignment horizontal="center" vertical="center" wrapText="1"/>
      <protection/>
    </xf>
    <xf numFmtId="0" fontId="8" fillId="0" borderId="25" xfId="61" applyFont="1" applyBorder="1" applyAlignment="1" applyProtection="1">
      <alignment horizontal="center" vertical="center" wrapText="1"/>
      <protection/>
    </xf>
    <xf numFmtId="0" fontId="8" fillId="0" borderId="47" xfId="61" applyFont="1" applyBorder="1" applyAlignment="1" applyProtection="1">
      <alignment horizontal="center" vertical="center" wrapText="1"/>
      <protection/>
    </xf>
    <xf numFmtId="0" fontId="2" fillId="0" borderId="55" xfId="61" applyFont="1" applyFill="1" applyBorder="1" applyAlignment="1" applyProtection="1">
      <alignment horizontal="center" vertical="center"/>
      <protection/>
    </xf>
    <xf numFmtId="0" fontId="2" fillId="0" borderId="25" xfId="61" applyFont="1" applyFill="1" applyBorder="1" applyAlignment="1" applyProtection="1">
      <alignment horizontal="center" vertical="center"/>
      <protection/>
    </xf>
    <xf numFmtId="0" fontId="2" fillId="0" borderId="47" xfId="61" applyFont="1" applyFill="1" applyBorder="1" applyAlignment="1" applyProtection="1">
      <alignment horizontal="center" vertical="center"/>
      <protection/>
    </xf>
    <xf numFmtId="0" fontId="10" fillId="0" borderId="71" xfId="67" applyFont="1" applyFill="1" applyBorder="1" applyAlignment="1" applyProtection="1">
      <alignment horizontal="left" vertical="center"/>
      <protection/>
    </xf>
    <xf numFmtId="0" fontId="10" fillId="0" borderId="51" xfId="67" applyFont="1" applyFill="1" applyBorder="1" applyAlignment="1" applyProtection="1">
      <alignment horizontal="left" vertical="center"/>
      <protection/>
    </xf>
    <xf numFmtId="0" fontId="10" fillId="0" borderId="71" xfId="67" applyFont="1" applyFill="1" applyBorder="1" applyAlignment="1" applyProtection="1">
      <alignment horizontal="left" vertical="center"/>
      <protection/>
    </xf>
    <xf numFmtId="0" fontId="10" fillId="0" borderId="51" xfId="67" applyFont="1" applyFill="1" applyBorder="1" applyAlignment="1" applyProtection="1">
      <alignment horizontal="left" vertical="center"/>
      <protection/>
    </xf>
    <xf numFmtId="0" fontId="10" fillId="0" borderId="36" xfId="63" applyFont="1" applyBorder="1" applyAlignment="1" applyProtection="1">
      <alignment horizontal="left" vertical="center"/>
      <protection/>
    </xf>
    <xf numFmtId="0" fontId="0" fillId="0" borderId="51" xfId="0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0" fontId="10" fillId="0" borderId="63" xfId="63" applyFont="1" applyBorder="1" applyAlignment="1" applyProtection="1">
      <alignment horizontal="left" vertical="center" wrapText="1"/>
      <protection/>
    </xf>
    <xf numFmtId="0" fontId="10" fillId="0" borderId="36" xfId="63" applyFont="1" applyBorder="1" applyAlignment="1" applyProtection="1">
      <alignment horizontal="left" vertical="center" wrapText="1"/>
      <protection/>
    </xf>
    <xf numFmtId="0" fontId="10" fillId="0" borderId="71" xfId="63" applyFont="1" applyBorder="1" applyAlignment="1" applyProtection="1">
      <alignment horizontal="left" vertical="center"/>
      <protection/>
    </xf>
    <xf numFmtId="0" fontId="11" fillId="0" borderId="10" xfId="68" applyFont="1" applyBorder="1" applyAlignment="1">
      <alignment horizontal="center" textRotation="90" wrapText="1"/>
      <protection/>
    </xf>
    <xf numFmtId="0" fontId="11" fillId="0" borderId="11" xfId="68" applyFont="1" applyBorder="1" applyAlignment="1">
      <alignment horizontal="center" textRotation="90" wrapText="1"/>
      <protection/>
    </xf>
    <xf numFmtId="0" fontId="11" fillId="0" borderId="12" xfId="68" applyFont="1" applyBorder="1" applyAlignment="1">
      <alignment horizontal="center" textRotation="90" wrapText="1"/>
      <protection/>
    </xf>
    <xf numFmtId="0" fontId="11" fillId="0" borderId="18" xfId="68" applyFont="1" applyBorder="1" applyAlignment="1">
      <alignment horizontal="center"/>
      <protection/>
    </xf>
    <xf numFmtId="0" fontId="11" fillId="0" borderId="25" xfId="68" applyFont="1" applyBorder="1" applyAlignment="1">
      <alignment horizontal="center"/>
      <protection/>
    </xf>
    <xf numFmtId="0" fontId="11" fillId="0" borderId="14" xfId="68" applyFont="1" applyBorder="1" applyAlignment="1">
      <alignment horizontal="center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1" fillId="0" borderId="0" xfId="0" applyFont="1" applyBorder="1" applyAlignment="1">
      <alignment horizontal="left" wrapText="1"/>
    </xf>
    <xf numFmtId="0" fontId="12" fillId="0" borderId="10" xfId="68" applyFont="1" applyBorder="1" applyAlignment="1">
      <alignment horizontal="center" textRotation="90" wrapText="1"/>
      <protection/>
    </xf>
    <xf numFmtId="0" fontId="12" fillId="0" borderId="11" xfId="68" applyFont="1" applyBorder="1" applyAlignment="1">
      <alignment horizontal="center" textRotation="90" wrapText="1"/>
      <protection/>
    </xf>
    <xf numFmtId="0" fontId="12" fillId="0" borderId="12" xfId="68" applyFont="1" applyBorder="1" applyAlignment="1">
      <alignment horizontal="center" textRotation="90" wrapText="1"/>
      <protection/>
    </xf>
    <xf numFmtId="0" fontId="11" fillId="31" borderId="18" xfId="68" applyFont="1" applyFill="1" applyBorder="1" applyAlignment="1">
      <alignment horizontal="center"/>
      <protection/>
    </xf>
    <xf numFmtId="0" fontId="11" fillId="31" borderId="25" xfId="68" applyFont="1" applyFill="1" applyBorder="1" applyAlignment="1">
      <alignment horizontal="center"/>
      <protection/>
    </xf>
    <xf numFmtId="0" fontId="11" fillId="31" borderId="14" xfId="68" applyFont="1" applyFill="1" applyBorder="1" applyAlignment="1">
      <alignment horizontal="center"/>
      <protection/>
    </xf>
    <xf numFmtId="0" fontId="11" fillId="4" borderId="18" xfId="68" applyFont="1" applyFill="1" applyBorder="1" applyAlignment="1">
      <alignment horizontal="center"/>
      <protection/>
    </xf>
    <xf numFmtId="0" fontId="11" fillId="4" borderId="25" xfId="68" applyFont="1" applyFill="1" applyBorder="1" applyAlignment="1">
      <alignment horizontal="center"/>
      <protection/>
    </xf>
    <xf numFmtId="0" fontId="11" fillId="4" borderId="14" xfId="68" applyFont="1" applyFill="1" applyBorder="1" applyAlignment="1">
      <alignment horizontal="center"/>
      <protection/>
    </xf>
    <xf numFmtId="0" fontId="10" fillId="0" borderId="33" xfId="0" applyFont="1" applyBorder="1" applyAlignment="1" applyProtection="1">
      <alignment horizontal="left" vertical="center" wrapText="1"/>
      <protection/>
    </xf>
    <xf numFmtId="0" fontId="10" fillId="0" borderId="34" xfId="0" applyFont="1" applyBorder="1" applyAlignment="1" applyProtection="1">
      <alignment horizontal="left" vertical="center" wrapText="1"/>
      <protection/>
    </xf>
    <xf numFmtId="0" fontId="10" fillId="0" borderId="35" xfId="0" applyFont="1" applyBorder="1" applyAlignment="1" applyProtection="1">
      <alignment horizontal="left" vertical="center" wrapText="1"/>
      <protection/>
    </xf>
    <xf numFmtId="0" fontId="44" fillId="0" borderId="22" xfId="0" applyFont="1" applyBorder="1" applyAlignment="1" applyProtection="1">
      <alignment horizontal="center"/>
      <protection/>
    </xf>
    <xf numFmtId="0" fontId="44" fillId="0" borderId="29" xfId="0" applyFont="1" applyBorder="1" applyAlignment="1" applyProtection="1">
      <alignment horizontal="center"/>
      <protection/>
    </xf>
    <xf numFmtId="0" fontId="44" fillId="0" borderId="22" xfId="0" applyFont="1" applyBorder="1" applyAlignment="1" applyProtection="1">
      <alignment horizontal="left"/>
      <protection/>
    </xf>
    <xf numFmtId="0" fontId="44" fillId="0" borderId="23" xfId="0" applyFont="1" applyBorder="1" applyAlignment="1" applyProtection="1">
      <alignment horizontal="left"/>
      <protection/>
    </xf>
    <xf numFmtId="0" fontId="44" fillId="0" borderId="29" xfId="0" applyFont="1" applyBorder="1" applyAlignment="1" applyProtection="1">
      <alignment horizontal="left"/>
      <protection/>
    </xf>
    <xf numFmtId="0" fontId="44" fillId="0" borderId="30" xfId="0" applyFont="1" applyBorder="1" applyAlignment="1" applyProtection="1">
      <alignment horizontal="left"/>
      <protection/>
    </xf>
    <xf numFmtId="0" fontId="5" fillId="0" borderId="34" xfId="0" applyFont="1" applyBorder="1" applyAlignment="1" applyProtection="1">
      <alignment horizontal="left" vertical="center" wrapText="1"/>
      <protection/>
    </xf>
    <xf numFmtId="0" fontId="45" fillId="0" borderId="60" xfId="0" applyFont="1" applyBorder="1" applyAlignment="1">
      <alignment horizontal="center" vertical="center"/>
    </xf>
    <xf numFmtId="0" fontId="45" fillId="0" borderId="63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5" fillId="0" borderId="61" xfId="0" applyFont="1" applyFill="1" applyBorder="1" applyAlignment="1" applyProtection="1">
      <alignment horizontal="left"/>
      <protection/>
    </xf>
    <xf numFmtId="0" fontId="5" fillId="0" borderId="62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left"/>
      <protection/>
    </xf>
    <xf numFmtId="0" fontId="5" fillId="0" borderId="72" xfId="0" applyFont="1" applyFill="1" applyBorder="1" applyAlignment="1" applyProtection="1">
      <alignment horizontal="left"/>
      <protection/>
    </xf>
    <xf numFmtId="0" fontId="45" fillId="0" borderId="48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5" fillId="0" borderId="61" xfId="0" applyFont="1" applyFill="1" applyBorder="1" applyAlignment="1" applyProtection="1">
      <alignment horizontal="left" vertical="center"/>
      <protection/>
    </xf>
    <xf numFmtId="0" fontId="5" fillId="0" borderId="62" xfId="0" applyFont="1" applyFill="1" applyBorder="1" applyAlignment="1" applyProtection="1">
      <alignment horizontal="left" vertical="center"/>
      <protection/>
    </xf>
    <xf numFmtId="196" fontId="5" fillId="24" borderId="84" xfId="0" applyNumberFormat="1" applyFont="1" applyFill="1" applyBorder="1" applyAlignment="1">
      <alignment horizontal="right" vertical="center"/>
    </xf>
    <xf numFmtId="196" fontId="5" fillId="24" borderId="42" xfId="0" applyNumberFormat="1" applyFont="1" applyFill="1" applyBorder="1" applyAlignment="1">
      <alignment horizontal="right" vertical="center"/>
    </xf>
    <xf numFmtId="196" fontId="5" fillId="24" borderId="82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 applyProtection="1">
      <alignment horizontal="left" vertical="center"/>
      <protection/>
    </xf>
    <xf numFmtId="0" fontId="5" fillId="0" borderId="47" xfId="0" applyFont="1" applyFill="1" applyBorder="1" applyAlignment="1" applyProtection="1">
      <alignment horizontal="left" vertical="center"/>
      <protection/>
    </xf>
    <xf numFmtId="0" fontId="5" fillId="0" borderId="39" xfId="0" applyFont="1" applyFill="1" applyBorder="1" applyAlignment="1" applyProtection="1">
      <alignment horizontal="left"/>
      <protection/>
    </xf>
    <xf numFmtId="0" fontId="5" fillId="0" borderId="40" xfId="0" applyFont="1" applyFill="1" applyBorder="1" applyAlignment="1" applyProtection="1">
      <alignment horizontal="left"/>
      <protection/>
    </xf>
    <xf numFmtId="0" fontId="45" fillId="0" borderId="71" xfId="0" applyFont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left"/>
      <protection/>
    </xf>
    <xf numFmtId="0" fontId="5" fillId="0" borderId="64" xfId="0" applyFont="1" applyFill="1" applyBorder="1" applyAlignment="1" applyProtection="1">
      <alignment horizontal="left"/>
      <protection/>
    </xf>
    <xf numFmtId="0" fontId="5" fillId="0" borderId="13" xfId="0" applyFont="1" applyFill="1" applyBorder="1" applyAlignment="1" applyProtection="1">
      <alignment horizontal="left" wrapText="1"/>
      <protection/>
    </xf>
    <xf numFmtId="0" fontId="5" fillId="0" borderId="37" xfId="0" applyFont="1" applyFill="1" applyBorder="1" applyAlignment="1" applyProtection="1">
      <alignment horizontal="left" wrapText="1"/>
      <protection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37" xfId="0" applyFont="1" applyFill="1" applyBorder="1" applyAlignment="1" applyProtection="1">
      <alignment horizontal="left" vertical="center"/>
      <protection/>
    </xf>
    <xf numFmtId="0" fontId="45" fillId="0" borderId="71" xfId="0" applyFont="1" applyBorder="1" applyAlignment="1">
      <alignment horizontal="center" vertical="center" wrapText="1"/>
    </xf>
    <xf numFmtId="0" fontId="45" fillId="0" borderId="51" xfId="0" applyFont="1" applyBorder="1" applyAlignment="1">
      <alignment horizontal="center" vertical="center" wrapText="1"/>
    </xf>
    <xf numFmtId="0" fontId="45" fillId="0" borderId="63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68" xfId="0" applyBorder="1" applyAlignment="1">
      <alignment horizontal="left"/>
    </xf>
    <xf numFmtId="196" fontId="16" fillId="36" borderId="71" xfId="0" applyNumberFormat="1" applyFont="1" applyFill="1" applyBorder="1" applyAlignment="1" applyProtection="1">
      <alignment horizontal="right" vertical="center"/>
      <protection locked="0"/>
    </xf>
    <xf numFmtId="196" fontId="16" fillId="36" borderId="51" xfId="0" applyNumberFormat="1" applyFont="1" applyFill="1" applyBorder="1" applyAlignment="1" applyProtection="1">
      <alignment horizontal="right" vertical="center"/>
      <protection locked="0"/>
    </xf>
    <xf numFmtId="196" fontId="16" fillId="36" borderId="63" xfId="0" applyNumberFormat="1" applyFont="1" applyFill="1" applyBorder="1" applyAlignment="1" applyProtection="1">
      <alignment horizontal="right" vertical="center"/>
      <protection locked="0"/>
    </xf>
    <xf numFmtId="196" fontId="16" fillId="36" borderId="48" xfId="0" applyNumberFormat="1" applyFont="1" applyFill="1" applyBorder="1" applyAlignment="1" applyProtection="1">
      <alignment horizontal="right" vertical="center"/>
      <protection locked="0"/>
    </xf>
    <xf numFmtId="0" fontId="45" fillId="0" borderId="22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32" xfId="0" applyFont="1" applyBorder="1" applyAlignment="1">
      <alignment horizontal="left" vertical="center"/>
    </xf>
    <xf numFmtId="0" fontId="12" fillId="0" borderId="51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left" vertical="center"/>
      <protection/>
    </xf>
    <xf numFmtId="0" fontId="5" fillId="0" borderId="64" xfId="0" applyFont="1" applyFill="1" applyBorder="1" applyAlignment="1" applyProtection="1">
      <alignment horizontal="left" vertical="center"/>
      <protection/>
    </xf>
    <xf numFmtId="0" fontId="12" fillId="5" borderId="33" xfId="0" applyFont="1" applyFill="1" applyBorder="1" applyAlignment="1" applyProtection="1">
      <alignment horizontal="center"/>
      <protection/>
    </xf>
    <xf numFmtId="0" fontId="12" fillId="5" borderId="34" xfId="0" applyFont="1" applyFill="1" applyBorder="1" applyAlignment="1" applyProtection="1">
      <alignment horizontal="center"/>
      <protection/>
    </xf>
    <xf numFmtId="0" fontId="12" fillId="5" borderId="35" xfId="0" applyFont="1" applyFill="1" applyBorder="1" applyAlignment="1" applyProtection="1">
      <alignment horizontal="center"/>
      <protection/>
    </xf>
    <xf numFmtId="0" fontId="12" fillId="4" borderId="33" xfId="0" applyFont="1" applyFill="1" applyBorder="1" applyAlignment="1" applyProtection="1">
      <alignment horizontal="center"/>
      <protection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2" fillId="31" borderId="33" xfId="0" applyFont="1" applyFill="1" applyBorder="1" applyAlignment="1" applyProtection="1">
      <alignment horizontal="center"/>
      <protection/>
    </xf>
    <xf numFmtId="0" fontId="12" fillId="31" borderId="34" xfId="0" applyFont="1" applyFill="1" applyBorder="1" applyAlignment="1" applyProtection="1">
      <alignment horizontal="center"/>
      <protection/>
    </xf>
    <xf numFmtId="0" fontId="12" fillId="31" borderId="35" xfId="0" applyFont="1" applyFill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 wrapText="1"/>
      <protection/>
    </xf>
    <xf numFmtId="0" fontId="11" fillId="0" borderId="0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2" fillId="0" borderId="41" xfId="0" applyFont="1" applyBorder="1" applyAlignment="1">
      <alignment horizontal="center" wrapText="1"/>
    </xf>
    <xf numFmtId="0" fontId="12" fillId="0" borderId="43" xfId="0" applyFont="1" applyBorder="1" applyAlignment="1">
      <alignment horizontal="center" wrapText="1"/>
    </xf>
    <xf numFmtId="196" fontId="5" fillId="24" borderId="41" xfId="0" applyNumberFormat="1" applyFont="1" applyFill="1" applyBorder="1" applyAlignment="1">
      <alignment horizontal="right" vertical="center"/>
    </xf>
    <xf numFmtId="0" fontId="10" fillId="0" borderId="48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4" borderId="29" xfId="0" applyFont="1" applyFill="1" applyBorder="1" applyAlignment="1" applyProtection="1">
      <alignment horizontal="center" vertical="center" wrapText="1"/>
      <protection/>
    </xf>
    <xf numFmtId="0" fontId="10" fillId="4" borderId="32" xfId="0" applyFont="1" applyFill="1" applyBorder="1" applyAlignment="1" applyProtection="1">
      <alignment horizontal="center" vertical="center" wrapText="1"/>
      <protection/>
    </xf>
    <xf numFmtId="0" fontId="10" fillId="0" borderId="48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indent="1"/>
    </xf>
    <xf numFmtId="0" fontId="5" fillId="0" borderId="37" xfId="0" applyFont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top" wrapText="1"/>
    </xf>
    <xf numFmtId="0" fontId="44" fillId="0" borderId="0" xfId="0" applyFont="1" applyAlignment="1" applyProtection="1">
      <alignment horizontal="left"/>
      <protection/>
    </xf>
    <xf numFmtId="0" fontId="5" fillId="0" borderId="22" xfId="67" applyFont="1" applyFill="1" applyBorder="1" applyAlignment="1" applyProtection="1">
      <alignment horizontal="center" vertical="center"/>
      <protection/>
    </xf>
    <xf numFmtId="0" fontId="5" fillId="0" borderId="23" xfId="67" applyFont="1" applyFill="1" applyBorder="1" applyAlignment="1" applyProtection="1">
      <alignment horizontal="center" vertic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_WPD example_SPD.xls" xfId="60"/>
    <cellStyle name="Normal 3" xfId="61"/>
    <cellStyle name="Normal_07-08 RRP - Section 5" xfId="62"/>
    <cellStyle name="Normal_CE-NEDL_0607_RRP_RAV_Draft HLFBPQ1" xfId="63"/>
    <cellStyle name="Normal_Network Tables 07_08" xfId="64"/>
    <cellStyle name="Normal_Network Tables 07_08 2" xfId="65"/>
    <cellStyle name="Normal_Opex Tables" xfId="66"/>
    <cellStyle name="Normal_risk table" xfId="67"/>
    <cellStyle name="Normal_Tables for 2005-06 Cost report (linked data v2)" xfId="68"/>
    <cellStyle name="Note" xfId="69"/>
    <cellStyle name="Output" xfId="70"/>
    <cellStyle name="Percent" xfId="71"/>
    <cellStyle name="Percent 4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ofgem.gov.uk/Markets/RetMkts/Metrng/Metering/Documents1/9745-5405.pdf" TargetMode="Externa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A6" sqref="A6"/>
    </sheetView>
  </sheetViews>
  <sheetFormatPr defaultColWidth="8.8515625" defaultRowHeight="12.75"/>
  <cols>
    <col min="1" max="1" width="21.421875" style="0" bestFit="1" customWidth="1"/>
    <col min="2" max="2" width="40.00390625" style="0" customWidth="1"/>
    <col min="3" max="3" width="41.00390625" style="0" bestFit="1" customWidth="1"/>
  </cols>
  <sheetData>
    <row r="1" ht="13.5" thickBot="1"/>
    <row r="2" spans="1:3" ht="13.5" thickBot="1">
      <c r="A2" s="399" t="s">
        <v>743</v>
      </c>
      <c r="B2" s="400" t="s">
        <v>193</v>
      </c>
      <c r="C2" s="401" t="s">
        <v>745</v>
      </c>
    </row>
    <row r="3" spans="1:3" ht="12.75">
      <c r="A3" s="393" t="s">
        <v>692</v>
      </c>
      <c r="B3" s="394" t="s">
        <v>744</v>
      </c>
      <c r="C3" s="395"/>
    </row>
    <row r="4" spans="1:3" ht="12.75">
      <c r="A4" s="393" t="s">
        <v>746</v>
      </c>
      <c r="B4" s="394" t="s">
        <v>747</v>
      </c>
      <c r="C4" s="395" t="s">
        <v>748</v>
      </c>
    </row>
    <row r="5" spans="1:3" ht="12.75">
      <c r="A5" s="393" t="s">
        <v>651</v>
      </c>
      <c r="B5" s="394" t="s">
        <v>749</v>
      </c>
      <c r="C5" s="395" t="s">
        <v>748</v>
      </c>
    </row>
    <row r="6" spans="1:3" ht="25.5">
      <c r="A6" s="393" t="s">
        <v>750</v>
      </c>
      <c r="B6" s="394" t="s">
        <v>704</v>
      </c>
      <c r="C6" s="402"/>
    </row>
    <row r="7" spans="1:3" ht="38.25">
      <c r="A7" s="403" t="s">
        <v>705</v>
      </c>
      <c r="B7" s="394" t="s">
        <v>706</v>
      </c>
      <c r="C7" s="404" t="s">
        <v>707</v>
      </c>
    </row>
    <row r="8" spans="1:3" ht="25.5">
      <c r="A8" s="403" t="s">
        <v>778</v>
      </c>
      <c r="B8" s="394" t="s">
        <v>779</v>
      </c>
      <c r="C8" s="404" t="s">
        <v>780</v>
      </c>
    </row>
    <row r="9" spans="1:3" ht="38.25">
      <c r="A9" s="393" t="s">
        <v>693</v>
      </c>
      <c r="B9" s="394" t="s">
        <v>694</v>
      </c>
      <c r="C9" s="395"/>
    </row>
    <row r="10" spans="1:3" ht="25.5">
      <c r="A10" s="393" t="s">
        <v>695</v>
      </c>
      <c r="B10" s="394" t="s">
        <v>708</v>
      </c>
      <c r="C10" s="395" t="s">
        <v>776</v>
      </c>
    </row>
    <row r="11" spans="1:3" ht="12.75">
      <c r="A11" s="393" t="s">
        <v>696</v>
      </c>
      <c r="B11" s="394" t="s">
        <v>708</v>
      </c>
      <c r="C11" s="395"/>
    </row>
    <row r="12" spans="1:3" ht="12.75">
      <c r="A12" s="393" t="s">
        <v>765</v>
      </c>
      <c r="B12" s="394" t="s">
        <v>708</v>
      </c>
      <c r="C12" s="395"/>
    </row>
    <row r="13" spans="1:3" ht="12.75">
      <c r="A13" s="393" t="s">
        <v>766</v>
      </c>
      <c r="B13" s="394" t="s">
        <v>708</v>
      </c>
      <c r="C13" s="395"/>
    </row>
    <row r="14" spans="1:3" ht="12.75">
      <c r="A14" s="393" t="s">
        <v>767</v>
      </c>
      <c r="B14" s="394" t="s">
        <v>708</v>
      </c>
      <c r="C14" s="395"/>
    </row>
    <row r="15" spans="1:3" ht="12.75">
      <c r="A15" s="393" t="s">
        <v>768</v>
      </c>
      <c r="B15" s="394" t="s">
        <v>708</v>
      </c>
      <c r="C15" s="395"/>
    </row>
    <row r="16" spans="1:3" ht="12.75">
      <c r="A16" s="393" t="s">
        <v>769</v>
      </c>
      <c r="B16" s="394" t="s">
        <v>774</v>
      </c>
      <c r="C16" s="395"/>
    </row>
    <row r="17" spans="1:3" ht="12.75">
      <c r="A17" s="393" t="s">
        <v>770</v>
      </c>
      <c r="B17" s="394" t="s">
        <v>774</v>
      </c>
      <c r="C17" s="395"/>
    </row>
    <row r="18" spans="1:3" ht="12.75">
      <c r="A18" s="393" t="s">
        <v>771</v>
      </c>
      <c r="B18" s="394" t="s">
        <v>774</v>
      </c>
      <c r="C18" s="395"/>
    </row>
    <row r="19" spans="1:3" ht="12.75">
      <c r="A19" s="393" t="s">
        <v>772</v>
      </c>
      <c r="B19" s="394" t="s">
        <v>774</v>
      </c>
      <c r="C19" s="395"/>
    </row>
    <row r="20" spans="1:3" ht="13.5" thickBot="1">
      <c r="A20" s="396" t="s">
        <v>773</v>
      </c>
      <c r="B20" s="397" t="s">
        <v>774</v>
      </c>
      <c r="C20" s="398"/>
    </row>
    <row r="21" spans="2:3" ht="12.75">
      <c r="B21" s="392"/>
      <c r="C21" s="392"/>
    </row>
    <row r="22" spans="2:3" ht="12.75">
      <c r="B22" s="392"/>
      <c r="C22" s="392"/>
    </row>
    <row r="23" spans="2:3" ht="12.75">
      <c r="B23" s="392"/>
      <c r="C23" s="392"/>
    </row>
  </sheetData>
  <sheetProtection/>
  <hyperlinks>
    <hyperlink ref="A3" location="Tariffs!D4" display="DNO LV Main usage"/>
    <hyperlink ref="A4" location="Tariffs!B10" display="ATW tariffs"/>
    <hyperlink ref="A5" location="Tariffs!B30" display="Customer Data"/>
    <hyperlink ref="A6" location="'Summary of revenue'!A1" display="Summary of revenue"/>
    <hyperlink ref="A9" location="'Allowed revenue -DPCR4'!A1" display="Final DPCR4 settlement"/>
    <hyperlink ref="A10" location="'FBPQ T4'!A1" display="FBPQ T4"/>
    <hyperlink ref="A11" location="'FBPQ LR1'!A1" display="FBPQ LR1"/>
    <hyperlink ref="A12" location="'FBPQ LR4'!A1" display="FBPQ LR4"/>
    <hyperlink ref="A13" location="'FBPQ LR6'!A1" display="FBPQ LR6"/>
    <hyperlink ref="A14" location="'FBPQ NL1'!A1" display="FBPQ NL1"/>
    <hyperlink ref="A15" location="'FBPQ C2'!A1" display="FBPQ C2"/>
    <hyperlink ref="A16" location="'RRP 1.3'!A1" display="RRP 1.3"/>
    <hyperlink ref="A17" location="'RRP 2.3'!A1" display="RRP 2.3"/>
    <hyperlink ref="A18" location="'RRP 2.4'!A1" display="RRP 2.4"/>
    <hyperlink ref="A19" location="'RRP 2.6'!A1" display="RRP 2.6"/>
    <hyperlink ref="A20" location="'RRP 5.1'!A1" display="RRP 5.1"/>
    <hyperlink ref="A7" location="'WPD - Final Allocation'!P63" display="Remove incentive revenue and pension deficit?"/>
    <hyperlink ref="A8" location="'Calc-MEAV'!F18" display="PB Power Unit value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H11" sqref="H11:L49"/>
    </sheetView>
  </sheetViews>
  <sheetFormatPr defaultColWidth="8.8515625" defaultRowHeight="12.75"/>
  <cols>
    <col min="1" max="7" width="8.8515625" style="0" customWidth="1"/>
    <col min="8" max="8" width="10.00390625" style="0" customWidth="1"/>
    <col min="9" max="9" width="11.421875" style="0" customWidth="1"/>
    <col min="10" max="10" width="11.140625" style="0" customWidth="1"/>
  </cols>
  <sheetData>
    <row r="1" spans="3:10" ht="12.75">
      <c r="C1" s="388" t="s">
        <v>259</v>
      </c>
      <c r="J1" s="390" t="s">
        <v>775</v>
      </c>
    </row>
    <row r="8" spans="1:12" ht="15">
      <c r="A8" s="584" t="s">
        <v>260</v>
      </c>
      <c r="B8" s="585"/>
      <c r="C8" s="51"/>
      <c r="D8" s="586"/>
      <c r="E8" s="585"/>
      <c r="F8" s="585"/>
      <c r="G8" s="587"/>
      <c r="H8" s="588" t="s">
        <v>561</v>
      </c>
      <c r="I8" s="588" t="s">
        <v>562</v>
      </c>
      <c r="J8" s="588" t="s">
        <v>558</v>
      </c>
      <c r="K8" s="588" t="s">
        <v>563</v>
      </c>
      <c r="L8" s="588" t="s">
        <v>564</v>
      </c>
    </row>
    <row r="9" spans="8:12" ht="15">
      <c r="H9" s="588">
        <v>16</v>
      </c>
      <c r="I9" s="588">
        <v>17</v>
      </c>
      <c r="J9" s="588">
        <v>18</v>
      </c>
      <c r="K9" s="588">
        <v>19</v>
      </c>
      <c r="L9" s="588">
        <v>20</v>
      </c>
    </row>
    <row r="10" spans="8:12" ht="15">
      <c r="H10" s="588"/>
      <c r="I10" s="588"/>
      <c r="J10" s="588"/>
      <c r="K10" s="588"/>
      <c r="L10" s="588"/>
    </row>
    <row r="11" spans="2:12" ht="14.25">
      <c r="B11" s="587" t="s">
        <v>244</v>
      </c>
      <c r="F11" t="s">
        <v>543</v>
      </c>
      <c r="H11" s="1289">
        <v>155.3</v>
      </c>
      <c r="I11" s="1289">
        <v>158.462215</v>
      </c>
      <c r="J11" s="1289">
        <v>164.619008</v>
      </c>
      <c r="K11" s="1289">
        <v>7.529388</v>
      </c>
      <c r="L11" s="1289" t="e">
        <v>#DIV/0!</v>
      </c>
    </row>
    <row r="12" spans="2:12" ht="14.25">
      <c r="B12" s="587" t="s">
        <v>239</v>
      </c>
      <c r="F12" t="s">
        <v>543</v>
      </c>
      <c r="H12" s="1289">
        <v>2.43929</v>
      </c>
      <c r="I12" s="1289">
        <v>0.365069</v>
      </c>
      <c r="J12" s="1289">
        <v>-0.911997</v>
      </c>
      <c r="K12" s="1289">
        <v>-17.267285</v>
      </c>
      <c r="L12" s="1289">
        <v>-17.267285</v>
      </c>
    </row>
    <row r="13" spans="2:12" ht="14.25">
      <c r="B13" s="587" t="s">
        <v>240</v>
      </c>
      <c r="F13" t="s">
        <v>543</v>
      </c>
      <c r="H13" s="1289">
        <v>3.081448</v>
      </c>
      <c r="I13" s="1289">
        <v>-1.905474</v>
      </c>
      <c r="J13" s="1289">
        <v>2.502889</v>
      </c>
      <c r="K13" s="1289">
        <v>0</v>
      </c>
      <c r="L13" s="1289">
        <v>0</v>
      </c>
    </row>
    <row r="14" spans="2:12" ht="14.25">
      <c r="B14" s="587" t="s">
        <v>241</v>
      </c>
      <c r="F14" t="s">
        <v>543</v>
      </c>
      <c r="H14" s="1289">
        <v>0.587912</v>
      </c>
      <c r="I14" s="1289">
        <v>1.209043</v>
      </c>
      <c r="J14" s="1289">
        <v>4.773196</v>
      </c>
      <c r="K14" s="1289">
        <v>2.571295</v>
      </c>
      <c r="L14" s="1289">
        <v>12.49383</v>
      </c>
    </row>
    <row r="15" spans="2:12" ht="14.25">
      <c r="B15" s="587"/>
      <c r="H15" s="1290"/>
      <c r="I15" s="1290"/>
      <c r="J15" s="1290"/>
      <c r="K15" s="1290"/>
      <c r="L15" s="1290"/>
    </row>
    <row r="16" spans="2:12" ht="14.25">
      <c r="B16" s="587" t="s">
        <v>242</v>
      </c>
      <c r="F16" t="s">
        <v>543</v>
      </c>
      <c r="H16" s="1291">
        <v>160.232826</v>
      </c>
      <c r="I16" s="1291">
        <v>155.712767</v>
      </c>
      <c r="J16" s="1291">
        <v>161.436704</v>
      </c>
      <c r="K16" s="1291">
        <v>-12.309192</v>
      </c>
      <c r="L16" s="1291" t="e">
        <v>#DIV/0!</v>
      </c>
    </row>
    <row r="17" spans="2:12" ht="14.25">
      <c r="B17" s="587"/>
      <c r="H17" s="1292"/>
      <c r="I17" s="1292"/>
      <c r="J17" s="1292"/>
      <c r="K17" s="1292"/>
      <c r="L17" s="1292"/>
    </row>
    <row r="18" spans="2:12" ht="14.25">
      <c r="B18" s="587" t="s">
        <v>243</v>
      </c>
      <c r="F18" t="s">
        <v>543</v>
      </c>
      <c r="H18" s="1289">
        <v>161.37</v>
      </c>
      <c r="I18" s="1289">
        <v>160.11</v>
      </c>
      <c r="J18" s="1289">
        <v>163.97</v>
      </c>
      <c r="K18" s="1289">
        <v>0</v>
      </c>
      <c r="L18" s="1289">
        <v>0</v>
      </c>
    </row>
    <row r="19" spans="2:12" ht="14.25">
      <c r="B19" s="587" t="s">
        <v>71</v>
      </c>
      <c r="F19" t="s">
        <v>543</v>
      </c>
      <c r="H19" s="1289">
        <v>0</v>
      </c>
      <c r="I19" s="1289">
        <v>0</v>
      </c>
      <c r="J19" s="1289">
        <v>0</v>
      </c>
      <c r="K19" s="1289">
        <v>0</v>
      </c>
      <c r="L19" s="1289">
        <v>0</v>
      </c>
    </row>
    <row r="20" spans="2:12" ht="14.25">
      <c r="B20" s="587"/>
      <c r="H20" s="1290"/>
      <c r="I20" s="1290"/>
      <c r="J20" s="1290"/>
      <c r="K20" s="1290"/>
      <c r="L20" s="1290"/>
    </row>
    <row r="21" spans="2:12" ht="14.25">
      <c r="B21" s="587" t="s">
        <v>72</v>
      </c>
      <c r="F21" t="s">
        <v>543</v>
      </c>
      <c r="H21" s="1293">
        <v>1.137174</v>
      </c>
      <c r="I21" s="1293">
        <v>4.397233</v>
      </c>
      <c r="J21" s="1293">
        <v>2.533296</v>
      </c>
      <c r="K21" s="1293">
        <v>12.309192</v>
      </c>
      <c r="L21" s="1293" t="e">
        <v>#DIV/0!</v>
      </c>
    </row>
    <row r="22" spans="8:12" ht="14.25">
      <c r="H22" s="1292"/>
      <c r="I22" s="1292"/>
      <c r="J22" s="1292"/>
      <c r="K22" s="1292"/>
      <c r="L22" s="1292"/>
    </row>
    <row r="23" spans="8:12" ht="14.25">
      <c r="H23" s="1292"/>
      <c r="I23" s="1292"/>
      <c r="J23" s="1292"/>
      <c r="K23" s="1292"/>
      <c r="L23" s="1292"/>
    </row>
    <row r="24" spans="1:12" ht="15">
      <c r="A24" s="584" t="s">
        <v>73</v>
      </c>
      <c r="H24" s="1292"/>
      <c r="I24" s="1292"/>
      <c r="J24" s="1292"/>
      <c r="K24" s="1292"/>
      <c r="L24" s="1292"/>
    </row>
    <row r="25" spans="8:12" ht="14.25">
      <c r="H25" s="1292"/>
      <c r="I25" s="1292"/>
      <c r="J25" s="1292"/>
      <c r="K25" s="1292"/>
      <c r="L25" s="1292"/>
    </row>
    <row r="26" spans="2:12" ht="14.25">
      <c r="B26" s="587" t="s">
        <v>74</v>
      </c>
      <c r="F26" t="s">
        <v>543</v>
      </c>
      <c r="H26" s="1289">
        <v>0</v>
      </c>
      <c r="I26" s="1289">
        <v>0.015387</v>
      </c>
      <c r="J26" s="1289">
        <v>0.023939</v>
      </c>
      <c r="K26" s="1289">
        <v>0</v>
      </c>
      <c r="L26" s="1289">
        <v>0</v>
      </c>
    </row>
    <row r="27" spans="2:12" ht="14.25">
      <c r="B27" s="587" t="s">
        <v>75</v>
      </c>
      <c r="F27" t="s">
        <v>543</v>
      </c>
      <c r="H27" s="1289">
        <v>0</v>
      </c>
      <c r="I27" s="1289">
        <v>0</v>
      </c>
      <c r="J27" s="1289">
        <v>0</v>
      </c>
      <c r="K27" s="1289">
        <v>0</v>
      </c>
      <c r="L27" s="1289">
        <v>0</v>
      </c>
    </row>
    <row r="28" spans="2:12" ht="14.25">
      <c r="B28" s="587" t="s">
        <v>76</v>
      </c>
      <c r="F28" t="s">
        <v>543</v>
      </c>
      <c r="H28" s="1289">
        <v>0</v>
      </c>
      <c r="I28" s="1289">
        <v>0</v>
      </c>
      <c r="J28" s="1289">
        <v>-0.005848</v>
      </c>
      <c r="K28" s="1289">
        <v>-0.080984</v>
      </c>
      <c r="L28" s="1289">
        <v>-0.082199</v>
      </c>
    </row>
    <row r="29" spans="2:12" ht="14.25">
      <c r="B29" s="587"/>
      <c r="H29" s="1290"/>
      <c r="I29" s="1290"/>
      <c r="J29" s="1290"/>
      <c r="K29" s="1290"/>
      <c r="L29" s="1290"/>
    </row>
    <row r="30" spans="2:12" ht="14.25">
      <c r="B30" s="387" t="s">
        <v>73</v>
      </c>
      <c r="F30" t="s">
        <v>543</v>
      </c>
      <c r="H30" s="1291">
        <v>0</v>
      </c>
      <c r="I30" s="1291">
        <v>0.015387</v>
      </c>
      <c r="J30" s="1291">
        <v>0.029787</v>
      </c>
      <c r="K30" s="1291">
        <v>0.080984</v>
      </c>
      <c r="L30" s="1291">
        <v>0.082199</v>
      </c>
    </row>
    <row r="31" spans="2:12" ht="14.25">
      <c r="B31" s="587"/>
      <c r="H31" s="1292"/>
      <c r="I31" s="1292"/>
      <c r="J31" s="1292"/>
      <c r="K31" s="1292"/>
      <c r="L31" s="1292"/>
    </row>
    <row r="32" spans="2:12" ht="14.25">
      <c r="B32" s="587" t="s">
        <v>24</v>
      </c>
      <c r="F32" t="s">
        <v>543</v>
      </c>
      <c r="H32" s="1289">
        <v>0</v>
      </c>
      <c r="I32" s="1289">
        <v>0.01</v>
      </c>
      <c r="J32" s="1289">
        <v>-0.05</v>
      </c>
      <c r="K32" s="1289">
        <v>0</v>
      </c>
      <c r="L32" s="1289">
        <v>0</v>
      </c>
    </row>
    <row r="33" spans="2:12" ht="14.25">
      <c r="B33" s="587"/>
      <c r="H33" s="1292"/>
      <c r="I33" s="1292"/>
      <c r="J33" s="1292"/>
      <c r="K33" s="1292"/>
      <c r="L33" s="1292"/>
    </row>
    <row r="34" spans="2:12" ht="14.25">
      <c r="B34" s="587" t="s">
        <v>72</v>
      </c>
      <c r="F34" t="s">
        <v>543</v>
      </c>
      <c r="H34" s="1293">
        <v>0</v>
      </c>
      <c r="I34" s="1293">
        <v>-0.005387</v>
      </c>
      <c r="J34" s="1293">
        <v>-0.079787</v>
      </c>
      <c r="K34" s="1293">
        <v>-0.080984</v>
      </c>
      <c r="L34" s="1293">
        <v>-0.082199</v>
      </c>
    </row>
    <row r="35" spans="8:12" ht="14.25">
      <c r="H35" s="1292"/>
      <c r="I35" s="1292"/>
      <c r="J35" s="1292"/>
      <c r="K35" s="1292"/>
      <c r="L35" s="1292"/>
    </row>
    <row r="36" spans="8:12" ht="14.25">
      <c r="H36" s="1292"/>
      <c r="I36" s="1292"/>
      <c r="J36" s="1292"/>
      <c r="K36" s="1292"/>
      <c r="L36" s="1292"/>
    </row>
    <row r="37" spans="1:12" ht="15">
      <c r="A37" s="584" t="s">
        <v>25</v>
      </c>
      <c r="H37" s="1294"/>
      <c r="I37" s="1294"/>
      <c r="J37" s="1294"/>
      <c r="K37" s="1294"/>
      <c r="L37" s="1294"/>
    </row>
    <row r="38" spans="2:12" ht="14.25">
      <c r="B38" s="387" t="s">
        <v>4</v>
      </c>
      <c r="F38" t="s">
        <v>543</v>
      </c>
      <c r="H38" s="1289">
        <v>2.81</v>
      </c>
      <c r="I38" s="1289">
        <v>3.06</v>
      </c>
      <c r="J38" s="1289">
        <v>3.63</v>
      </c>
      <c r="K38" s="1289">
        <v>0</v>
      </c>
      <c r="L38" s="1289">
        <v>0</v>
      </c>
    </row>
    <row r="39" spans="2:12" ht="14.25">
      <c r="B39" s="587" t="s">
        <v>67</v>
      </c>
      <c r="F39" t="s">
        <v>543</v>
      </c>
      <c r="H39" s="1289">
        <v>3.649808</v>
      </c>
      <c r="I39" s="1289">
        <v>4.258052</v>
      </c>
      <c r="J39" s="1295">
        <v>0</v>
      </c>
      <c r="K39" s="1295">
        <v>0</v>
      </c>
      <c r="L39" s="1295">
        <v>0</v>
      </c>
    </row>
    <row r="40" spans="3:12" ht="14.25">
      <c r="C40" s="587"/>
      <c r="H40" s="1292"/>
      <c r="I40" s="1292"/>
      <c r="J40" s="1292"/>
      <c r="K40" s="1292"/>
      <c r="L40" s="1292"/>
    </row>
    <row r="41" spans="8:12" ht="14.25">
      <c r="H41" s="1296">
        <v>6.459808</v>
      </c>
      <c r="I41" s="1296">
        <v>7.318052</v>
      </c>
      <c r="J41" s="1296">
        <v>3.63</v>
      </c>
      <c r="K41" s="1296">
        <v>0</v>
      </c>
      <c r="L41" s="1296">
        <v>0</v>
      </c>
    </row>
    <row r="42" spans="8:12" ht="14.25">
      <c r="H42" s="1294"/>
      <c r="I42" s="1294"/>
      <c r="J42" s="1294"/>
      <c r="K42" s="1294"/>
      <c r="L42" s="1294"/>
    </row>
    <row r="43" spans="8:12" ht="14.25">
      <c r="H43" s="1294"/>
      <c r="I43" s="1294"/>
      <c r="J43" s="1294"/>
      <c r="K43" s="1294"/>
      <c r="L43" s="1294"/>
    </row>
    <row r="44" spans="1:12" ht="15">
      <c r="A44" s="584" t="s">
        <v>55</v>
      </c>
      <c r="H44" s="1294"/>
      <c r="I44" s="1294"/>
      <c r="J44" s="1294"/>
      <c r="K44" s="1294"/>
      <c r="L44" s="1294"/>
    </row>
    <row r="45" spans="1:12" ht="15">
      <c r="A45" s="584"/>
      <c r="B45" s="587" t="s">
        <v>56</v>
      </c>
      <c r="F45" t="s">
        <v>543</v>
      </c>
      <c r="H45" s="1289">
        <v>25.34</v>
      </c>
      <c r="I45" s="1289">
        <v>34.46</v>
      </c>
      <c r="J45" s="1289">
        <v>36.6</v>
      </c>
      <c r="K45" s="1289">
        <v>0</v>
      </c>
      <c r="L45" s="1289">
        <v>0</v>
      </c>
    </row>
    <row r="46" spans="2:12" ht="14.25">
      <c r="B46" s="587" t="s">
        <v>57</v>
      </c>
      <c r="F46" t="s">
        <v>543</v>
      </c>
      <c r="H46" s="1297">
        <v>4.01</v>
      </c>
      <c r="I46" s="1297">
        <v>4.32</v>
      </c>
      <c r="J46" s="1297">
        <v>4.31</v>
      </c>
      <c r="K46" s="1297">
        <v>0</v>
      </c>
      <c r="L46" s="1297">
        <v>0</v>
      </c>
    </row>
    <row r="47" spans="2:12" ht="14.25">
      <c r="B47" s="587" t="s">
        <v>58</v>
      </c>
      <c r="F47" t="s">
        <v>543</v>
      </c>
      <c r="H47" s="1297">
        <v>0.14</v>
      </c>
      <c r="I47" s="1297">
        <v>0.87</v>
      </c>
      <c r="J47" s="1297">
        <v>1.28</v>
      </c>
      <c r="K47" s="1297">
        <v>0</v>
      </c>
      <c r="L47" s="1297">
        <v>0</v>
      </c>
    </row>
    <row r="48" spans="8:12" ht="14.25">
      <c r="H48" s="1294"/>
      <c r="I48" s="1294"/>
      <c r="J48" s="1294"/>
      <c r="K48" s="1294"/>
      <c r="L48" s="1294"/>
    </row>
    <row r="49" spans="8:12" ht="14.25">
      <c r="H49" s="1293">
        <v>29.49</v>
      </c>
      <c r="I49" s="1293">
        <v>39.65</v>
      </c>
      <c r="J49" s="1293">
        <v>42.19</v>
      </c>
      <c r="K49" s="1293">
        <v>0</v>
      </c>
      <c r="L49" s="1293">
        <v>0</v>
      </c>
    </row>
    <row r="50" spans="8:12" ht="14.25">
      <c r="H50" s="587"/>
      <c r="I50" s="587"/>
      <c r="J50" s="587"/>
      <c r="K50" s="587"/>
      <c r="L50" s="587"/>
    </row>
    <row r="51" spans="8:12" ht="14.25">
      <c r="H51" s="589"/>
      <c r="I51" s="589"/>
      <c r="J51" s="589"/>
      <c r="K51" s="589"/>
      <c r="L51" s="589"/>
    </row>
    <row r="52" spans="8:12" ht="14.25">
      <c r="H52" s="587"/>
      <c r="I52" s="587"/>
      <c r="J52" s="587"/>
      <c r="K52" s="587"/>
      <c r="L52" s="587"/>
    </row>
  </sheetData>
  <sheetProtection/>
  <hyperlinks>
    <hyperlink ref="J1" location="Inputs!A1" display="Index"/>
  </hyperlink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D3" sqref="D3:H30"/>
    </sheetView>
  </sheetViews>
  <sheetFormatPr defaultColWidth="8.8515625" defaultRowHeight="12.75"/>
  <cols>
    <col min="1" max="1" width="5.00390625" style="0" customWidth="1"/>
    <col min="2" max="2" width="38.140625" style="0" bestFit="1" customWidth="1"/>
    <col min="3" max="8" width="9.421875" style="0" customWidth="1"/>
  </cols>
  <sheetData>
    <row r="1" spans="3:10" ht="12.75">
      <c r="C1" s="386" t="s">
        <v>741</v>
      </c>
      <c r="D1" s="386" t="s">
        <v>737</v>
      </c>
      <c r="E1" s="386" t="s">
        <v>738</v>
      </c>
      <c r="F1" s="386" t="s">
        <v>739</v>
      </c>
      <c r="G1" s="386" t="s">
        <v>740</v>
      </c>
      <c r="H1" s="386" t="s">
        <v>564</v>
      </c>
      <c r="J1" s="390" t="s">
        <v>775</v>
      </c>
    </row>
    <row r="2" spans="3:8" ht="12.75">
      <c r="C2" s="386" t="s">
        <v>742</v>
      </c>
      <c r="D2" s="386" t="s">
        <v>742</v>
      </c>
      <c r="E2" s="386" t="s">
        <v>742</v>
      </c>
      <c r="F2" s="386" t="s">
        <v>742</v>
      </c>
      <c r="G2" s="386" t="s">
        <v>742</v>
      </c>
      <c r="H2" s="386" t="s">
        <v>742</v>
      </c>
    </row>
    <row r="3" spans="1:9" ht="12.75">
      <c r="A3">
        <v>1</v>
      </c>
      <c r="B3" t="s">
        <v>283</v>
      </c>
      <c r="D3" s="313">
        <v>573.6</v>
      </c>
      <c r="E3" s="313">
        <v>577.8</v>
      </c>
      <c r="F3" s="313">
        <v>579.3</v>
      </c>
      <c r="G3" s="313">
        <v>578.4</v>
      </c>
      <c r="H3" s="313">
        <v>575</v>
      </c>
      <c r="I3" t="s">
        <v>500</v>
      </c>
    </row>
    <row r="4" spans="1:9" ht="12.75">
      <c r="A4">
        <v>2</v>
      </c>
      <c r="B4" t="s">
        <v>285</v>
      </c>
      <c r="D4" s="313">
        <v>49.9</v>
      </c>
      <c r="E4" s="313">
        <v>49.7</v>
      </c>
      <c r="F4" s="313">
        <v>49.7</v>
      </c>
      <c r="G4" s="313">
        <v>49.7</v>
      </c>
      <c r="H4" s="313">
        <v>49.7</v>
      </c>
      <c r="I4" t="s">
        <v>500</v>
      </c>
    </row>
    <row r="5" spans="1:9" ht="12.75">
      <c r="A5">
        <v>3</v>
      </c>
      <c r="B5" t="s">
        <v>143</v>
      </c>
      <c r="D5" s="313">
        <v>-45.7</v>
      </c>
      <c r="E5" s="313">
        <v>-48.2</v>
      </c>
      <c r="F5" s="313">
        <v>-50.6</v>
      </c>
      <c r="G5" s="313">
        <v>-53.1</v>
      </c>
      <c r="H5" s="313">
        <v>-55.6</v>
      </c>
      <c r="I5" t="s">
        <v>500</v>
      </c>
    </row>
    <row r="6" spans="1:9" ht="12.75">
      <c r="A6">
        <v>4</v>
      </c>
      <c r="B6" t="s">
        <v>45</v>
      </c>
      <c r="D6" s="313">
        <v>577.8</v>
      </c>
      <c r="E6" s="313">
        <v>579.3</v>
      </c>
      <c r="F6" s="313">
        <v>578.4</v>
      </c>
      <c r="G6" s="313">
        <v>575</v>
      </c>
      <c r="H6" s="313">
        <v>569.1</v>
      </c>
      <c r="I6" t="s">
        <v>500</v>
      </c>
    </row>
    <row r="7" spans="1:8" ht="12.75">
      <c r="A7">
        <v>5</v>
      </c>
      <c r="B7" t="s">
        <v>680</v>
      </c>
      <c r="D7" s="313"/>
      <c r="F7" t="s">
        <v>500</v>
      </c>
      <c r="H7">
        <v>434.5104887627745</v>
      </c>
    </row>
    <row r="8" spans="1:8" ht="12.75">
      <c r="A8">
        <v>6</v>
      </c>
      <c r="B8" t="s">
        <v>736</v>
      </c>
      <c r="E8" t="s">
        <v>500</v>
      </c>
      <c r="H8">
        <v>139.0895112372255</v>
      </c>
    </row>
    <row r="9" ht="12.75">
      <c r="A9" s="388" t="s">
        <v>812</v>
      </c>
    </row>
    <row r="10" spans="1:9" ht="12.75">
      <c r="A10">
        <v>7</v>
      </c>
      <c r="B10" t="s">
        <v>681</v>
      </c>
      <c r="D10" s="313">
        <v>43</v>
      </c>
      <c r="E10" s="313">
        <v>44.5</v>
      </c>
      <c r="F10" s="313">
        <v>45.1</v>
      </c>
      <c r="G10" s="313">
        <v>44.7</v>
      </c>
      <c r="H10" s="313">
        <v>44.3</v>
      </c>
      <c r="I10" t="s">
        <v>500</v>
      </c>
    </row>
    <row r="11" spans="1:9" ht="12.75">
      <c r="A11">
        <v>8</v>
      </c>
      <c r="B11" t="s">
        <v>682</v>
      </c>
      <c r="D11" s="313">
        <v>44.1</v>
      </c>
      <c r="E11" s="313">
        <v>44</v>
      </c>
      <c r="F11" s="313">
        <v>43.8</v>
      </c>
      <c r="G11" s="313">
        <v>43.7</v>
      </c>
      <c r="H11" s="313">
        <v>43.6</v>
      </c>
      <c r="I11" t="s">
        <v>500</v>
      </c>
    </row>
    <row r="12" spans="1:9" ht="12.75">
      <c r="A12">
        <v>9</v>
      </c>
      <c r="B12" t="s">
        <v>683</v>
      </c>
      <c r="D12" s="313">
        <v>10</v>
      </c>
      <c r="E12" s="313">
        <v>9.9</v>
      </c>
      <c r="F12" s="313">
        <v>10.2</v>
      </c>
      <c r="G12" s="313">
        <v>10.4</v>
      </c>
      <c r="H12" s="313">
        <v>10.5</v>
      </c>
      <c r="I12" t="s">
        <v>500</v>
      </c>
    </row>
    <row r="13" spans="1:9" ht="12.75">
      <c r="A13">
        <v>10</v>
      </c>
      <c r="B13" t="s">
        <v>14</v>
      </c>
      <c r="D13" s="313">
        <v>13.1</v>
      </c>
      <c r="E13" s="313">
        <v>14.2</v>
      </c>
      <c r="F13" s="313">
        <v>15</v>
      </c>
      <c r="G13" s="313">
        <v>15.9</v>
      </c>
      <c r="H13" s="313">
        <v>16.7</v>
      </c>
      <c r="I13" t="s">
        <v>500</v>
      </c>
    </row>
    <row r="14" spans="1:9" ht="12.75">
      <c r="A14">
        <v>11</v>
      </c>
      <c r="B14" t="s">
        <v>684</v>
      </c>
      <c r="D14" s="313">
        <v>-1.7</v>
      </c>
      <c r="E14" s="313">
        <v>-1.1</v>
      </c>
      <c r="F14" s="313">
        <v>-0.9</v>
      </c>
      <c r="G14" s="313">
        <v>-0.3</v>
      </c>
      <c r="H14" s="313">
        <v>-0.1</v>
      </c>
      <c r="I14" t="s">
        <v>500</v>
      </c>
    </row>
    <row r="15" spans="1:9" ht="12.75">
      <c r="A15">
        <v>12</v>
      </c>
      <c r="B15" t="s">
        <v>685</v>
      </c>
      <c r="D15" s="313">
        <v>1.2</v>
      </c>
      <c r="E15" s="313">
        <v>1.2</v>
      </c>
      <c r="F15" s="313">
        <v>1.2</v>
      </c>
      <c r="G15" s="313">
        <v>1.2</v>
      </c>
      <c r="H15" s="313">
        <v>1.1</v>
      </c>
      <c r="I15" t="s">
        <v>500</v>
      </c>
    </row>
    <row r="16" spans="1:9" ht="12.75">
      <c r="A16">
        <v>13</v>
      </c>
      <c r="B16" t="s">
        <v>720</v>
      </c>
      <c r="D16" s="313"/>
      <c r="E16" s="313"/>
      <c r="F16" s="313"/>
      <c r="G16" s="313"/>
      <c r="H16" s="313"/>
      <c r="I16" t="s">
        <v>500</v>
      </c>
    </row>
    <row r="17" spans="1:9" ht="12.75">
      <c r="A17">
        <v>14</v>
      </c>
      <c r="B17" t="s">
        <v>721</v>
      </c>
      <c r="D17" s="313">
        <v>1.6</v>
      </c>
      <c r="E17" s="313">
        <v>1.6</v>
      </c>
      <c r="F17" s="313">
        <v>1.6</v>
      </c>
      <c r="G17" s="313">
        <v>1.3</v>
      </c>
      <c r="H17" s="313">
        <v>1.3</v>
      </c>
      <c r="I17" t="s">
        <v>500</v>
      </c>
    </row>
    <row r="18" spans="1:9" ht="12.75">
      <c r="A18">
        <v>15</v>
      </c>
      <c r="B18" t="s">
        <v>50</v>
      </c>
      <c r="D18">
        <v>0.9</v>
      </c>
      <c r="E18" s="313"/>
      <c r="F18" s="313"/>
      <c r="G18" s="313"/>
      <c r="H18" s="313"/>
      <c r="I18" t="s">
        <v>500</v>
      </c>
    </row>
    <row r="19" spans="1:9" ht="12.75">
      <c r="A19">
        <v>16</v>
      </c>
      <c r="B19" t="s">
        <v>341</v>
      </c>
      <c r="D19" s="1298">
        <v>112.2</v>
      </c>
      <c r="E19" s="1298">
        <v>114.3</v>
      </c>
      <c r="F19" s="1298">
        <v>116</v>
      </c>
      <c r="G19" s="1298">
        <v>116.9</v>
      </c>
      <c r="H19" s="1298">
        <v>117.4</v>
      </c>
      <c r="I19" t="s">
        <v>500</v>
      </c>
    </row>
    <row r="20" spans="1:9" ht="12.75">
      <c r="A20">
        <v>17</v>
      </c>
      <c r="B20" t="s">
        <v>722</v>
      </c>
      <c r="D20" s="313">
        <v>109.21292148782669</v>
      </c>
      <c r="E20" s="313">
        <v>105.41192249868327</v>
      </c>
      <c r="F20" s="313">
        <v>101.35935275953834</v>
      </c>
      <c r="G20" s="313">
        <v>96.77934675346872</v>
      </c>
      <c r="H20" s="313">
        <v>92.08706002266071</v>
      </c>
      <c r="I20" t="s">
        <v>500</v>
      </c>
    </row>
    <row r="21" spans="1:8" ht="12.75">
      <c r="A21">
        <v>18</v>
      </c>
      <c r="B21" t="s">
        <v>51</v>
      </c>
      <c r="E21" t="s">
        <v>500</v>
      </c>
      <c r="H21">
        <v>139.0895112372255</v>
      </c>
    </row>
    <row r="22" spans="1:8" ht="12.75">
      <c r="A22">
        <v>19</v>
      </c>
      <c r="B22" s="387" t="s">
        <v>723</v>
      </c>
      <c r="H22" s="313">
        <v>643.9401147594033</v>
      </c>
    </row>
    <row r="23" ht="12.75">
      <c r="A23" s="388" t="s">
        <v>467</v>
      </c>
    </row>
    <row r="24" spans="1:9" ht="12.75">
      <c r="A24">
        <v>20</v>
      </c>
      <c r="B24" t="s">
        <v>139</v>
      </c>
      <c r="D24" s="313">
        <v>1</v>
      </c>
      <c r="E24" s="313">
        <v>1.013</v>
      </c>
      <c r="F24" s="313">
        <v>1.026</v>
      </c>
      <c r="G24" s="313">
        <v>1.037</v>
      </c>
      <c r="H24" s="313">
        <v>1.05</v>
      </c>
      <c r="I24" t="s">
        <v>500</v>
      </c>
    </row>
    <row r="25" spans="1:9" ht="12.75">
      <c r="A25">
        <v>21</v>
      </c>
      <c r="B25" t="s">
        <v>140</v>
      </c>
      <c r="D25" s="313">
        <v>0.9733771968612006</v>
      </c>
      <c r="E25" s="313">
        <v>0.9342281495290125</v>
      </c>
      <c r="F25" s="313">
        <v>0.8965059994076409</v>
      </c>
      <c r="G25" s="313">
        <v>0.8585131102082724</v>
      </c>
      <c r="H25" s="313">
        <v>0.8236065845297593</v>
      </c>
      <c r="I25" t="s">
        <v>500</v>
      </c>
    </row>
    <row r="26" spans="1:9" ht="12.75">
      <c r="A26">
        <v>22</v>
      </c>
      <c r="B26" t="s">
        <v>141</v>
      </c>
      <c r="C26" s="389" t="s">
        <v>782</v>
      </c>
      <c r="D26" s="1299">
        <v>140.70458227880613</v>
      </c>
      <c r="E26" s="1299">
        <v>142.5337418484306</v>
      </c>
      <c r="F26" s="1299">
        <v>144.3629014180551</v>
      </c>
      <c r="G26" s="1299">
        <v>145.91065182312195</v>
      </c>
      <c r="H26" s="1300">
        <v>147.73981139274645</v>
      </c>
      <c r="I26" t="s">
        <v>500</v>
      </c>
    </row>
    <row r="27" spans="1:9" ht="12.75">
      <c r="A27">
        <v>23</v>
      </c>
      <c r="B27" t="s">
        <v>724</v>
      </c>
      <c r="D27" s="313">
        <v>2.9</v>
      </c>
      <c r="E27" s="313">
        <v>2.9</v>
      </c>
      <c r="F27" s="313">
        <v>2.9</v>
      </c>
      <c r="G27" s="313">
        <v>2.9</v>
      </c>
      <c r="H27" s="313">
        <v>2.9</v>
      </c>
      <c r="I27" t="s">
        <v>500</v>
      </c>
    </row>
    <row r="28" spans="1:9" ht="12.75">
      <c r="A28">
        <v>24</v>
      </c>
      <c r="B28" t="s">
        <v>40</v>
      </c>
      <c r="D28" s="313">
        <v>143.60458227880613</v>
      </c>
      <c r="E28" s="313">
        <v>145.4337418484306</v>
      </c>
      <c r="F28" s="313">
        <v>147.2629014180551</v>
      </c>
      <c r="G28" s="313">
        <v>148.81065182312196</v>
      </c>
      <c r="H28" s="313">
        <v>150.63981139274645</v>
      </c>
      <c r="I28" t="s">
        <v>500</v>
      </c>
    </row>
    <row r="29" spans="1:9" ht="12.75">
      <c r="A29">
        <v>25</v>
      </c>
      <c r="B29" t="s">
        <v>725</v>
      </c>
      <c r="D29" s="313">
        <v>139.78142575496796</v>
      </c>
      <c r="E29" s="313">
        <v>134.1246747543331</v>
      </c>
      <c r="F29" s="313">
        <v>128.6764859760842</v>
      </c>
      <c r="G29" s="313">
        <v>123.19758488793515</v>
      </c>
      <c r="H29" s="313">
        <v>118.15994338608289</v>
      </c>
      <c r="I29" t="s">
        <v>500</v>
      </c>
    </row>
    <row r="30" spans="1:8" ht="12.75">
      <c r="A30">
        <v>26</v>
      </c>
      <c r="B30" t="s">
        <v>723</v>
      </c>
      <c r="H30" s="1298">
        <v>643.9401147594033</v>
      </c>
    </row>
    <row r="32" ht="12.75">
      <c r="A32" t="s">
        <v>662</v>
      </c>
    </row>
    <row r="33" ht="12.75">
      <c r="A33" s="391" t="s">
        <v>790</v>
      </c>
    </row>
  </sheetData>
  <sheetProtection/>
  <hyperlinks>
    <hyperlink ref="A33" r:id="rId1" display="http://www.ofgem.gov.uk/Markets/RetMkts/Metrng/Metering/Documents1/9745-5405.pdf"/>
    <hyperlink ref="J1" location="Inputs!A1" display="Index"/>
  </hyperlinks>
  <printOptions/>
  <pageMargins left="0.7" right="0.7" top="0.75" bottom="0.75" header="0.3" footer="0.3"/>
  <pageSetup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47"/>
  <sheetViews>
    <sheetView zoomScalePageLayoutView="0" workbookViewId="0" topLeftCell="A1">
      <selection activeCell="F12" sqref="F12:AE147"/>
    </sheetView>
  </sheetViews>
  <sheetFormatPr defaultColWidth="8.8515625" defaultRowHeight="12.75"/>
  <cols>
    <col min="1" max="4" width="8.8515625" style="0" customWidth="1"/>
    <col min="5" max="5" width="17.8515625" style="0" customWidth="1"/>
    <col min="6" max="6" width="10.8515625" style="0" customWidth="1"/>
    <col min="7" max="10" width="8.8515625" style="0" customWidth="1"/>
    <col min="11" max="11" width="11.140625" style="0" customWidth="1"/>
    <col min="12" max="15" width="8.8515625" style="0" customWidth="1"/>
    <col min="16" max="16" width="11.00390625" style="0" customWidth="1"/>
    <col min="17" max="20" width="8.8515625" style="0" customWidth="1"/>
    <col min="21" max="21" width="11.421875" style="0" customWidth="1"/>
    <col min="22" max="25" width="8.8515625" style="0" customWidth="1"/>
    <col min="26" max="26" width="11.00390625" style="0" customWidth="1"/>
    <col min="27" max="30" width="8.8515625" style="0" customWidth="1"/>
    <col min="31" max="31" width="12.28125" style="0" customWidth="1"/>
  </cols>
  <sheetData>
    <row r="1" spans="1:31" ht="12.75">
      <c r="A1" s="388" t="s">
        <v>499</v>
      </c>
      <c r="B1" s="388"/>
      <c r="F1" t="s">
        <v>500</v>
      </c>
      <c r="G1" s="390" t="s">
        <v>775</v>
      </c>
      <c r="I1" t="s">
        <v>500</v>
      </c>
      <c r="K1" t="s">
        <v>500</v>
      </c>
      <c r="L1" t="s">
        <v>500</v>
      </c>
      <c r="N1" t="s">
        <v>500</v>
      </c>
      <c r="P1" t="s">
        <v>500</v>
      </c>
      <c r="Q1" t="s">
        <v>500</v>
      </c>
      <c r="S1" t="s">
        <v>500</v>
      </c>
      <c r="U1" t="s">
        <v>500</v>
      </c>
      <c r="V1" t="s">
        <v>500</v>
      </c>
      <c r="X1" t="s">
        <v>500</v>
      </c>
      <c r="Z1" t="s">
        <v>500</v>
      </c>
      <c r="AA1" t="s">
        <v>500</v>
      </c>
      <c r="AC1" t="s">
        <v>500</v>
      </c>
      <c r="AE1" t="s">
        <v>500</v>
      </c>
    </row>
    <row r="2" spans="1:2" ht="12.75">
      <c r="A2" s="388"/>
      <c r="B2" s="388"/>
    </row>
    <row r="3" spans="1:2" ht="12.75">
      <c r="A3" s="388" t="s">
        <v>376</v>
      </c>
      <c r="B3" s="388"/>
    </row>
    <row r="4" spans="1:2" ht="12.75">
      <c r="A4" s="388"/>
      <c r="B4" s="388"/>
    </row>
    <row r="5" spans="1:2" ht="12.75">
      <c r="A5" s="388"/>
      <c r="B5" s="388" t="s">
        <v>377</v>
      </c>
    </row>
    <row r="6" ht="13.5" thickBot="1"/>
    <row r="7" spans="2:31" ht="13.5" thickBot="1">
      <c r="B7" s="413"/>
      <c r="C7" s="414"/>
      <c r="D7" s="414"/>
      <c r="E7" s="414"/>
      <c r="F7" s="415"/>
      <c r="G7" s="1474" t="s">
        <v>561</v>
      </c>
      <c r="H7" s="1474"/>
      <c r="I7" s="1474"/>
      <c r="J7" s="1474"/>
      <c r="K7" s="1475"/>
      <c r="L7" s="1474" t="s">
        <v>562</v>
      </c>
      <c r="M7" s="1474"/>
      <c r="N7" s="1474"/>
      <c r="O7" s="1474"/>
      <c r="P7" s="1475"/>
      <c r="Q7" s="1476" t="s">
        <v>558</v>
      </c>
      <c r="R7" s="1474"/>
      <c r="S7" s="1474"/>
      <c r="T7" s="1474"/>
      <c r="U7" s="1475"/>
      <c r="V7" s="1476" t="s">
        <v>563</v>
      </c>
      <c r="W7" s="1474"/>
      <c r="X7" s="1474"/>
      <c r="Y7" s="1474"/>
      <c r="Z7" s="1475"/>
      <c r="AA7" s="1476" t="s">
        <v>564</v>
      </c>
      <c r="AB7" s="1474"/>
      <c r="AC7" s="1474"/>
      <c r="AD7" s="1474"/>
      <c r="AE7" s="1475"/>
    </row>
    <row r="8" spans="2:31" ht="38.25">
      <c r="B8" s="416"/>
      <c r="C8" s="417"/>
      <c r="D8" s="417"/>
      <c r="E8" s="417" t="s">
        <v>324</v>
      </c>
      <c r="F8" s="418" t="s">
        <v>378</v>
      </c>
      <c r="G8" s="1473" t="s">
        <v>502</v>
      </c>
      <c r="H8" s="1473"/>
      <c r="I8" s="1471" t="s">
        <v>382</v>
      </c>
      <c r="J8" s="1473"/>
      <c r="K8" s="419" t="s">
        <v>383</v>
      </c>
      <c r="L8" s="1473" t="s">
        <v>502</v>
      </c>
      <c r="M8" s="1473"/>
      <c r="N8" s="1471" t="s">
        <v>382</v>
      </c>
      <c r="O8" s="1472"/>
      <c r="P8" s="420" t="s">
        <v>383</v>
      </c>
      <c r="Q8" s="1473" t="s">
        <v>502</v>
      </c>
      <c r="R8" s="1473"/>
      <c r="S8" s="1471" t="s">
        <v>382</v>
      </c>
      <c r="T8" s="1473"/>
      <c r="U8" s="419" t="s">
        <v>383</v>
      </c>
      <c r="V8" s="1473" t="s">
        <v>502</v>
      </c>
      <c r="W8" s="1473"/>
      <c r="X8" s="1471" t="s">
        <v>382</v>
      </c>
      <c r="Y8" s="1472"/>
      <c r="Z8" s="420" t="s">
        <v>383</v>
      </c>
      <c r="AA8" s="1473" t="s">
        <v>502</v>
      </c>
      <c r="AB8" s="1473"/>
      <c r="AC8" s="1471" t="s">
        <v>382</v>
      </c>
      <c r="AD8" s="1472"/>
      <c r="AE8" s="420" t="s">
        <v>261</v>
      </c>
    </row>
    <row r="9" spans="2:31" ht="13.5" thickBot="1">
      <c r="B9" s="421"/>
      <c r="C9" s="422"/>
      <c r="D9" s="422"/>
      <c r="E9" s="422"/>
      <c r="F9" s="423"/>
      <c r="G9" s="424" t="s">
        <v>262</v>
      </c>
      <c r="H9" s="425" t="s">
        <v>263</v>
      </c>
      <c r="I9" s="426" t="s">
        <v>262</v>
      </c>
      <c r="J9" s="427" t="s">
        <v>263</v>
      </c>
      <c r="K9" s="428" t="s">
        <v>561</v>
      </c>
      <c r="L9" s="424" t="s">
        <v>262</v>
      </c>
      <c r="M9" s="425" t="s">
        <v>263</v>
      </c>
      <c r="N9" s="426" t="s">
        <v>262</v>
      </c>
      <c r="O9" s="429" t="s">
        <v>263</v>
      </c>
      <c r="P9" s="430" t="s">
        <v>562</v>
      </c>
      <c r="Q9" s="424" t="s">
        <v>262</v>
      </c>
      <c r="R9" s="425" t="s">
        <v>263</v>
      </c>
      <c r="S9" s="426" t="s">
        <v>262</v>
      </c>
      <c r="T9" s="427" t="s">
        <v>263</v>
      </c>
      <c r="U9" s="428" t="s">
        <v>558</v>
      </c>
      <c r="V9" s="424" t="s">
        <v>262</v>
      </c>
      <c r="W9" s="425" t="s">
        <v>263</v>
      </c>
      <c r="X9" s="426" t="s">
        <v>262</v>
      </c>
      <c r="Y9" s="429" t="s">
        <v>263</v>
      </c>
      <c r="Z9" s="430" t="s">
        <v>563</v>
      </c>
      <c r="AA9" s="424" t="s">
        <v>262</v>
      </c>
      <c r="AB9" s="425" t="s">
        <v>263</v>
      </c>
      <c r="AC9" s="426" t="s">
        <v>262</v>
      </c>
      <c r="AD9" s="429" t="s">
        <v>263</v>
      </c>
      <c r="AE9" s="430" t="s">
        <v>564</v>
      </c>
    </row>
    <row r="10" spans="2:31" ht="12.75">
      <c r="B10" s="431"/>
      <c r="C10" s="432" t="s">
        <v>174</v>
      </c>
      <c r="D10" s="432"/>
      <c r="E10" s="433"/>
      <c r="F10" s="434"/>
      <c r="G10" s="435"/>
      <c r="H10" s="436"/>
      <c r="I10" s="435"/>
      <c r="J10" s="437"/>
      <c r="K10" s="434"/>
      <c r="L10" s="435"/>
      <c r="M10" s="436"/>
      <c r="N10" s="435"/>
      <c r="O10" s="437"/>
      <c r="P10" s="434"/>
      <c r="Q10" s="435"/>
      <c r="R10" s="436"/>
      <c r="S10" s="435"/>
      <c r="T10" s="437"/>
      <c r="U10" s="434"/>
      <c r="V10" s="435"/>
      <c r="W10" s="436"/>
      <c r="X10" s="435"/>
      <c r="Y10" s="436"/>
      <c r="Z10" s="434"/>
      <c r="AA10" s="435"/>
      <c r="AB10" s="436"/>
      <c r="AC10" s="435"/>
      <c r="AD10" s="436"/>
      <c r="AE10" s="434"/>
    </row>
    <row r="11" spans="2:31" ht="12.75">
      <c r="B11" s="431"/>
      <c r="C11" s="433"/>
      <c r="D11" s="438" t="s">
        <v>264</v>
      </c>
      <c r="E11" s="433"/>
      <c r="F11" s="439"/>
      <c r="G11" s="440"/>
      <c r="H11" s="441"/>
      <c r="I11" s="440"/>
      <c r="J11" s="442"/>
      <c r="K11" s="439"/>
      <c r="L11" s="440"/>
      <c r="M11" s="441"/>
      <c r="N11" s="440"/>
      <c r="O11" s="442"/>
      <c r="P11" s="439"/>
      <c r="Q11" s="440"/>
      <c r="R11" s="441"/>
      <c r="S11" s="440"/>
      <c r="T11" s="442"/>
      <c r="U11" s="443"/>
      <c r="V11" s="440"/>
      <c r="W11" s="441"/>
      <c r="X11" s="440"/>
      <c r="Y11" s="441"/>
      <c r="Z11" s="439"/>
      <c r="AA11" s="440"/>
      <c r="AB11" s="441"/>
      <c r="AC11" s="440"/>
      <c r="AD11" s="441"/>
      <c r="AE11" s="439"/>
    </row>
    <row r="12" spans="2:31" ht="12.75">
      <c r="B12" s="444"/>
      <c r="C12" s="433"/>
      <c r="D12" s="433"/>
      <c r="E12" s="433" t="s">
        <v>175</v>
      </c>
      <c r="F12" s="445">
        <v>3215</v>
      </c>
      <c r="G12" s="446">
        <v>0</v>
      </c>
      <c r="H12" s="447">
        <v>9</v>
      </c>
      <c r="I12" s="446">
        <v>0</v>
      </c>
      <c r="J12" s="447">
        <v>4</v>
      </c>
      <c r="K12" s="445">
        <v>3210</v>
      </c>
      <c r="L12" s="446">
        <v>0</v>
      </c>
      <c r="M12" s="447">
        <v>61</v>
      </c>
      <c r="N12" s="446">
        <v>0</v>
      </c>
      <c r="O12" s="447">
        <v>56</v>
      </c>
      <c r="P12" s="445">
        <v>3205</v>
      </c>
      <c r="Q12" s="446">
        <v>0</v>
      </c>
      <c r="R12" s="447">
        <v>66</v>
      </c>
      <c r="S12" s="446">
        <v>0</v>
      </c>
      <c r="T12" s="447">
        <v>54</v>
      </c>
      <c r="U12" s="448">
        <v>3193</v>
      </c>
      <c r="V12" s="446">
        <v>0</v>
      </c>
      <c r="W12" s="447">
        <v>39</v>
      </c>
      <c r="X12" s="446">
        <v>0</v>
      </c>
      <c r="Y12" s="447">
        <v>39</v>
      </c>
      <c r="Z12" s="445">
        <v>3193</v>
      </c>
      <c r="AA12" s="446">
        <v>0</v>
      </c>
      <c r="AB12" s="447">
        <v>43</v>
      </c>
      <c r="AC12" s="446">
        <v>0</v>
      </c>
      <c r="AD12" s="447">
        <v>42</v>
      </c>
      <c r="AE12" s="445">
        <v>3192</v>
      </c>
    </row>
    <row r="13" spans="2:31" ht="12.75">
      <c r="B13" s="444"/>
      <c r="C13" s="433"/>
      <c r="D13" s="433"/>
      <c r="E13" s="433" t="s">
        <v>176</v>
      </c>
      <c r="F13" s="445">
        <v>317000</v>
      </c>
      <c r="G13" s="446">
        <v>0</v>
      </c>
      <c r="H13" s="447">
        <v>5256</v>
      </c>
      <c r="I13" s="446">
        <v>0</v>
      </c>
      <c r="J13" s="449">
        <v>5256</v>
      </c>
      <c r="K13" s="445">
        <v>317000</v>
      </c>
      <c r="L13" s="446">
        <v>0</v>
      </c>
      <c r="M13" s="447">
        <v>5428</v>
      </c>
      <c r="N13" s="446">
        <v>0</v>
      </c>
      <c r="O13" s="449">
        <v>5428</v>
      </c>
      <c r="P13" s="445">
        <v>317000</v>
      </c>
      <c r="Q13" s="446">
        <v>0</v>
      </c>
      <c r="R13" s="447">
        <v>9048</v>
      </c>
      <c r="S13" s="446">
        <v>0</v>
      </c>
      <c r="T13" s="449">
        <v>9048</v>
      </c>
      <c r="U13" s="448">
        <v>317000</v>
      </c>
      <c r="V13" s="446">
        <v>0</v>
      </c>
      <c r="W13" s="447">
        <v>5000</v>
      </c>
      <c r="X13" s="446">
        <v>0</v>
      </c>
      <c r="Y13" s="447">
        <v>5000</v>
      </c>
      <c r="Z13" s="445">
        <v>317000</v>
      </c>
      <c r="AA13" s="446">
        <v>0</v>
      </c>
      <c r="AB13" s="447">
        <v>2500</v>
      </c>
      <c r="AC13" s="446">
        <v>0</v>
      </c>
      <c r="AD13" s="447">
        <v>2500</v>
      </c>
      <c r="AE13" s="445">
        <v>317000</v>
      </c>
    </row>
    <row r="14" spans="2:31" ht="12.75">
      <c r="B14" s="444"/>
      <c r="C14" s="433"/>
      <c r="D14" s="433"/>
      <c r="E14" s="433"/>
      <c r="F14" s="450"/>
      <c r="G14" s="451"/>
      <c r="H14" s="452"/>
      <c r="I14" s="451"/>
      <c r="J14" s="453"/>
      <c r="K14" s="450"/>
      <c r="L14" s="451"/>
      <c r="M14" s="452"/>
      <c r="N14" s="451"/>
      <c r="O14" s="453"/>
      <c r="P14" s="450"/>
      <c r="Q14" s="451"/>
      <c r="R14" s="452"/>
      <c r="S14" s="451"/>
      <c r="T14" s="453"/>
      <c r="U14" s="454"/>
      <c r="V14" s="451"/>
      <c r="W14" s="452"/>
      <c r="X14" s="451"/>
      <c r="Y14" s="452"/>
      <c r="Z14" s="450"/>
      <c r="AA14" s="451"/>
      <c r="AB14" s="452"/>
      <c r="AC14" s="451"/>
      <c r="AD14" s="452"/>
      <c r="AE14" s="450"/>
    </row>
    <row r="15" spans="2:31" ht="12.75">
      <c r="B15" s="444"/>
      <c r="C15" s="433"/>
      <c r="D15" s="438" t="s">
        <v>430</v>
      </c>
      <c r="E15" s="433"/>
      <c r="F15" s="450"/>
      <c r="G15" s="451"/>
      <c r="H15" s="452"/>
      <c r="I15" s="451"/>
      <c r="J15" s="453"/>
      <c r="K15" s="450"/>
      <c r="L15" s="451"/>
      <c r="M15" s="452"/>
      <c r="N15" s="451"/>
      <c r="O15" s="453"/>
      <c r="P15" s="450"/>
      <c r="Q15" s="451"/>
      <c r="R15" s="452"/>
      <c r="S15" s="451"/>
      <c r="T15" s="453"/>
      <c r="U15" s="454"/>
      <c r="V15" s="451"/>
      <c r="W15" s="452"/>
      <c r="X15" s="451"/>
      <c r="Y15" s="452"/>
      <c r="Z15" s="450"/>
      <c r="AA15" s="451"/>
      <c r="AB15" s="452"/>
      <c r="AC15" s="451"/>
      <c r="AD15" s="452"/>
      <c r="AE15" s="450"/>
    </row>
    <row r="16" spans="2:31" ht="12.75">
      <c r="B16" s="444"/>
      <c r="C16" s="433"/>
      <c r="D16" s="433"/>
      <c r="E16" s="433" t="s">
        <v>431</v>
      </c>
      <c r="F16" s="445">
        <v>98008</v>
      </c>
      <c r="G16" s="446">
        <v>0</v>
      </c>
      <c r="H16" s="447">
        <v>1043</v>
      </c>
      <c r="I16" s="446">
        <v>0</v>
      </c>
      <c r="J16" s="449">
        <v>961</v>
      </c>
      <c r="K16" s="445">
        <v>97926</v>
      </c>
      <c r="L16" s="446">
        <v>0</v>
      </c>
      <c r="M16" s="447">
        <v>1028</v>
      </c>
      <c r="N16" s="446">
        <v>0</v>
      </c>
      <c r="O16" s="449">
        <v>833</v>
      </c>
      <c r="P16" s="445">
        <v>97731</v>
      </c>
      <c r="Q16" s="446">
        <v>0</v>
      </c>
      <c r="R16" s="447">
        <v>900</v>
      </c>
      <c r="S16" s="446">
        <v>0</v>
      </c>
      <c r="T16" s="449">
        <v>734</v>
      </c>
      <c r="U16" s="448">
        <v>97565</v>
      </c>
      <c r="V16" s="446">
        <v>0</v>
      </c>
      <c r="W16" s="447">
        <v>840</v>
      </c>
      <c r="X16" s="446">
        <v>0</v>
      </c>
      <c r="Y16" s="447">
        <v>840</v>
      </c>
      <c r="Z16" s="445">
        <v>97565</v>
      </c>
      <c r="AA16" s="446">
        <v>0</v>
      </c>
      <c r="AB16" s="447">
        <v>845</v>
      </c>
      <c r="AC16" s="446">
        <v>0</v>
      </c>
      <c r="AD16" s="447">
        <v>826</v>
      </c>
      <c r="AE16" s="445">
        <v>97546</v>
      </c>
    </row>
    <row r="17" spans="2:31" ht="12.75">
      <c r="B17" s="444"/>
      <c r="C17" s="433"/>
      <c r="D17" s="433"/>
      <c r="E17" s="433"/>
      <c r="F17" s="450"/>
      <c r="G17" s="451"/>
      <c r="H17" s="452"/>
      <c r="I17" s="451"/>
      <c r="J17" s="453"/>
      <c r="K17" s="450"/>
      <c r="L17" s="451"/>
      <c r="M17" s="452"/>
      <c r="N17" s="451"/>
      <c r="O17" s="453"/>
      <c r="P17" s="450"/>
      <c r="Q17" s="451"/>
      <c r="R17" s="452"/>
      <c r="S17" s="451"/>
      <c r="T17" s="453"/>
      <c r="U17" s="454"/>
      <c r="V17" s="451"/>
      <c r="W17" s="452"/>
      <c r="X17" s="451"/>
      <c r="Y17" s="452"/>
      <c r="Z17" s="450"/>
      <c r="AA17" s="451"/>
      <c r="AB17" s="452"/>
      <c r="AC17" s="451"/>
      <c r="AD17" s="452"/>
      <c r="AE17" s="450"/>
    </row>
    <row r="18" spans="2:31" ht="12.75">
      <c r="B18" s="444"/>
      <c r="C18" s="433"/>
      <c r="D18" s="438" t="s">
        <v>520</v>
      </c>
      <c r="E18" s="433"/>
      <c r="F18" s="450"/>
      <c r="G18" s="451"/>
      <c r="H18" s="452"/>
      <c r="I18" s="451"/>
      <c r="J18" s="453"/>
      <c r="K18" s="450"/>
      <c r="L18" s="451"/>
      <c r="M18" s="452"/>
      <c r="N18" s="451"/>
      <c r="O18" s="453"/>
      <c r="P18" s="450"/>
      <c r="Q18" s="451"/>
      <c r="R18" s="452"/>
      <c r="S18" s="451"/>
      <c r="T18" s="453"/>
      <c r="U18" s="454"/>
      <c r="V18" s="451"/>
      <c r="W18" s="452"/>
      <c r="X18" s="451"/>
      <c r="Y18" s="452"/>
      <c r="Z18" s="450"/>
      <c r="AA18" s="451"/>
      <c r="AB18" s="452"/>
      <c r="AC18" s="451"/>
      <c r="AD18" s="452"/>
      <c r="AE18" s="450"/>
    </row>
    <row r="19" spans="2:31" ht="12.75">
      <c r="B19" s="444"/>
      <c r="C19" s="433"/>
      <c r="D19" s="438"/>
      <c r="E19" s="433" t="s">
        <v>459</v>
      </c>
      <c r="F19" s="445">
        <v>0</v>
      </c>
      <c r="G19" s="446">
        <v>0</v>
      </c>
      <c r="H19" s="447">
        <v>0</v>
      </c>
      <c r="I19" s="446" t="s">
        <v>813</v>
      </c>
      <c r="J19" s="449">
        <v>0</v>
      </c>
      <c r="K19" s="445">
        <v>0</v>
      </c>
      <c r="L19" s="446">
        <v>0</v>
      </c>
      <c r="M19" s="447">
        <v>0</v>
      </c>
      <c r="N19" s="446" t="s">
        <v>813</v>
      </c>
      <c r="O19" s="449">
        <v>0</v>
      </c>
      <c r="P19" s="445">
        <v>0</v>
      </c>
      <c r="Q19" s="446">
        <v>0</v>
      </c>
      <c r="R19" s="447">
        <v>0</v>
      </c>
      <c r="S19" s="446" t="s">
        <v>813</v>
      </c>
      <c r="T19" s="449">
        <v>0</v>
      </c>
      <c r="U19" s="448">
        <v>0</v>
      </c>
      <c r="V19" s="446">
        <v>0</v>
      </c>
      <c r="W19" s="447">
        <v>0</v>
      </c>
      <c r="X19" s="446">
        <v>0</v>
      </c>
      <c r="Y19" s="447">
        <v>0</v>
      </c>
      <c r="Z19" s="445">
        <v>0</v>
      </c>
      <c r="AA19" s="446">
        <v>0</v>
      </c>
      <c r="AB19" s="447">
        <v>0</v>
      </c>
      <c r="AC19" s="446">
        <v>0</v>
      </c>
      <c r="AD19" s="447">
        <v>0</v>
      </c>
      <c r="AE19" s="445">
        <v>0</v>
      </c>
    </row>
    <row r="20" spans="2:31" ht="12.75">
      <c r="B20" s="444"/>
      <c r="C20" s="433"/>
      <c r="D20" s="438"/>
      <c r="E20" s="433" t="s">
        <v>317</v>
      </c>
      <c r="F20" s="445">
        <v>3999</v>
      </c>
      <c r="G20" s="446">
        <v>0</v>
      </c>
      <c r="H20" s="447">
        <v>0</v>
      </c>
      <c r="I20" s="446">
        <v>248</v>
      </c>
      <c r="J20" s="449">
        <v>4</v>
      </c>
      <c r="K20" s="445">
        <v>4251</v>
      </c>
      <c r="L20" s="446">
        <v>0</v>
      </c>
      <c r="M20" s="447">
        <v>2</v>
      </c>
      <c r="N20" s="446">
        <v>134.79</v>
      </c>
      <c r="O20" s="449">
        <v>9.4</v>
      </c>
      <c r="P20" s="445">
        <v>4393.19</v>
      </c>
      <c r="Q20" s="446">
        <v>0</v>
      </c>
      <c r="R20" s="447">
        <v>2</v>
      </c>
      <c r="S20" s="446">
        <v>143.9</v>
      </c>
      <c r="T20" s="449">
        <v>2</v>
      </c>
      <c r="U20" s="448">
        <v>4537.09</v>
      </c>
      <c r="V20" s="446">
        <v>0</v>
      </c>
      <c r="W20" s="447">
        <v>0</v>
      </c>
      <c r="X20" s="446">
        <v>117</v>
      </c>
      <c r="Y20" s="447">
        <v>2</v>
      </c>
      <c r="Z20" s="445">
        <v>4656.09</v>
      </c>
      <c r="AA20" s="446">
        <v>0</v>
      </c>
      <c r="AB20" s="447">
        <v>0</v>
      </c>
      <c r="AC20" s="446">
        <v>113</v>
      </c>
      <c r="AD20" s="447">
        <v>3</v>
      </c>
      <c r="AE20" s="445">
        <v>4772.09</v>
      </c>
    </row>
    <row r="21" spans="2:31" ht="12.75">
      <c r="B21" s="444"/>
      <c r="C21" s="433"/>
      <c r="D21" s="438"/>
      <c r="E21" s="433" t="s">
        <v>318</v>
      </c>
      <c r="F21" s="445">
        <v>6214.9</v>
      </c>
      <c r="G21" s="446">
        <v>0</v>
      </c>
      <c r="H21" s="447">
        <v>4</v>
      </c>
      <c r="I21" s="446" t="s">
        <v>813</v>
      </c>
      <c r="J21" s="449">
        <v>0</v>
      </c>
      <c r="K21" s="445">
        <v>6210.9</v>
      </c>
      <c r="L21" s="446">
        <v>0</v>
      </c>
      <c r="M21" s="447">
        <v>7.4</v>
      </c>
      <c r="N21" s="446" t="s">
        <v>813</v>
      </c>
      <c r="O21" s="449">
        <v>0</v>
      </c>
      <c r="P21" s="445">
        <v>6203.5</v>
      </c>
      <c r="Q21" s="446">
        <v>0</v>
      </c>
      <c r="R21" s="447">
        <v>5</v>
      </c>
      <c r="S21" s="446" t="s">
        <v>813</v>
      </c>
      <c r="T21" s="449">
        <v>0</v>
      </c>
      <c r="U21" s="448">
        <v>6198.5</v>
      </c>
      <c r="V21" s="446">
        <v>0</v>
      </c>
      <c r="W21" s="447">
        <v>2</v>
      </c>
      <c r="X21" s="446">
        <v>0</v>
      </c>
      <c r="Y21" s="447">
        <v>0</v>
      </c>
      <c r="Z21" s="445">
        <v>6196.5</v>
      </c>
      <c r="AA21" s="446">
        <v>0</v>
      </c>
      <c r="AB21" s="447">
        <v>2</v>
      </c>
      <c r="AC21" s="446">
        <v>0</v>
      </c>
      <c r="AD21" s="447">
        <v>0</v>
      </c>
      <c r="AE21" s="445">
        <v>6194.5</v>
      </c>
    </row>
    <row r="22" spans="2:31" ht="12.75">
      <c r="B22" s="444"/>
      <c r="C22" s="433"/>
      <c r="D22" s="438"/>
      <c r="E22" s="433" t="s">
        <v>319</v>
      </c>
      <c r="F22" s="445">
        <v>732157</v>
      </c>
      <c r="G22" s="446">
        <v>0</v>
      </c>
      <c r="H22" s="447">
        <v>0</v>
      </c>
      <c r="I22" s="446">
        <v>10675</v>
      </c>
      <c r="J22" s="449">
        <v>0</v>
      </c>
      <c r="K22" s="445">
        <v>742832</v>
      </c>
      <c r="L22" s="446">
        <v>0</v>
      </c>
      <c r="M22" s="447">
        <v>0</v>
      </c>
      <c r="N22" s="446">
        <v>11542</v>
      </c>
      <c r="O22" s="449">
        <v>0</v>
      </c>
      <c r="P22" s="445">
        <v>754374</v>
      </c>
      <c r="Q22" s="446">
        <v>0</v>
      </c>
      <c r="R22" s="447">
        <v>0</v>
      </c>
      <c r="S22" s="446">
        <v>8211</v>
      </c>
      <c r="T22" s="449">
        <v>0</v>
      </c>
      <c r="U22" s="448">
        <v>762585</v>
      </c>
      <c r="V22" s="446">
        <v>0</v>
      </c>
      <c r="W22" s="447">
        <v>1100</v>
      </c>
      <c r="X22" s="446">
        <v>8288</v>
      </c>
      <c r="Y22" s="447">
        <v>1100</v>
      </c>
      <c r="Z22" s="445">
        <v>770873</v>
      </c>
      <c r="AA22" s="446">
        <v>0</v>
      </c>
      <c r="AB22" s="447">
        <v>750</v>
      </c>
      <c r="AC22" s="446">
        <v>7973</v>
      </c>
      <c r="AD22" s="447">
        <v>750</v>
      </c>
      <c r="AE22" s="445">
        <v>778846</v>
      </c>
    </row>
    <row r="23" spans="2:31" ht="12.75">
      <c r="B23" s="444"/>
      <c r="C23" s="433"/>
      <c r="D23" s="433"/>
      <c r="E23" s="433"/>
      <c r="F23" s="450"/>
      <c r="G23" s="451"/>
      <c r="H23" s="452"/>
      <c r="I23" s="451"/>
      <c r="J23" s="453"/>
      <c r="K23" s="450"/>
      <c r="L23" s="451"/>
      <c r="M23" s="452"/>
      <c r="N23" s="451"/>
      <c r="O23" s="453"/>
      <c r="P23" s="450"/>
      <c r="Q23" s="451"/>
      <c r="R23" s="452"/>
      <c r="S23" s="451"/>
      <c r="T23" s="453"/>
      <c r="U23" s="454"/>
      <c r="V23" s="451"/>
      <c r="W23" s="452"/>
      <c r="X23" s="451"/>
      <c r="Y23" s="452"/>
      <c r="Z23" s="450"/>
      <c r="AA23" s="451"/>
      <c r="AB23" s="452"/>
      <c r="AC23" s="451"/>
      <c r="AD23" s="452"/>
      <c r="AE23" s="450"/>
    </row>
    <row r="24" spans="2:31" ht="12.75">
      <c r="B24" s="444"/>
      <c r="C24" s="433"/>
      <c r="D24" s="438" t="s">
        <v>320</v>
      </c>
      <c r="E24" s="433"/>
      <c r="F24" s="450"/>
      <c r="G24" s="451"/>
      <c r="H24" s="452"/>
      <c r="I24" s="451"/>
      <c r="J24" s="453"/>
      <c r="K24" s="450"/>
      <c r="L24" s="451"/>
      <c r="M24" s="452"/>
      <c r="N24" s="451"/>
      <c r="O24" s="453"/>
      <c r="P24" s="450"/>
      <c r="Q24" s="451"/>
      <c r="R24" s="452"/>
      <c r="S24" s="451"/>
      <c r="T24" s="453"/>
      <c r="U24" s="454"/>
      <c r="V24" s="451"/>
      <c r="W24" s="452"/>
      <c r="X24" s="451"/>
      <c r="Y24" s="452"/>
      <c r="Z24" s="450"/>
      <c r="AA24" s="451"/>
      <c r="AB24" s="452"/>
      <c r="AC24" s="451"/>
      <c r="AD24" s="452"/>
      <c r="AE24" s="450"/>
    </row>
    <row r="25" spans="2:31" ht="12.75">
      <c r="B25" s="444"/>
      <c r="C25" s="433"/>
      <c r="D25" s="438"/>
      <c r="E25" s="433" t="s">
        <v>321</v>
      </c>
      <c r="F25" s="445">
        <v>3736</v>
      </c>
      <c r="G25" s="446">
        <v>0</v>
      </c>
      <c r="H25" s="447">
        <v>0</v>
      </c>
      <c r="I25" s="446">
        <v>40</v>
      </c>
      <c r="J25" s="449">
        <v>65</v>
      </c>
      <c r="K25" s="445">
        <v>3841</v>
      </c>
      <c r="L25" s="446">
        <v>0</v>
      </c>
      <c r="M25" s="447">
        <v>22</v>
      </c>
      <c r="N25" s="446">
        <v>38</v>
      </c>
      <c r="O25" s="449">
        <v>59</v>
      </c>
      <c r="P25" s="445">
        <v>3916</v>
      </c>
      <c r="Q25" s="446">
        <v>0</v>
      </c>
      <c r="R25" s="447">
        <v>53</v>
      </c>
      <c r="S25" s="446">
        <v>54</v>
      </c>
      <c r="T25" s="449">
        <v>88</v>
      </c>
      <c r="U25" s="448">
        <v>4005</v>
      </c>
      <c r="V25" s="446">
        <v>0</v>
      </c>
      <c r="W25" s="447">
        <v>0</v>
      </c>
      <c r="X25" s="446">
        <v>39</v>
      </c>
      <c r="Y25" s="447">
        <v>0</v>
      </c>
      <c r="Z25" s="445">
        <v>4044</v>
      </c>
      <c r="AA25" s="446">
        <v>0</v>
      </c>
      <c r="AB25" s="447">
        <v>0</v>
      </c>
      <c r="AC25" s="446">
        <v>37</v>
      </c>
      <c r="AD25" s="447">
        <v>0</v>
      </c>
      <c r="AE25" s="445">
        <v>4081</v>
      </c>
    </row>
    <row r="26" spans="2:31" ht="12.75">
      <c r="B26" s="444"/>
      <c r="C26" s="433"/>
      <c r="D26" s="438"/>
      <c r="E26" s="433" t="s">
        <v>322</v>
      </c>
      <c r="F26" s="445">
        <v>3893</v>
      </c>
      <c r="G26" s="446">
        <v>21</v>
      </c>
      <c r="H26" s="447">
        <v>8</v>
      </c>
      <c r="I26" s="446">
        <v>1</v>
      </c>
      <c r="J26" s="449">
        <v>8</v>
      </c>
      <c r="K26" s="445">
        <v>3873</v>
      </c>
      <c r="L26" s="446">
        <v>23</v>
      </c>
      <c r="M26" s="447">
        <v>14</v>
      </c>
      <c r="N26" s="446">
        <v>1</v>
      </c>
      <c r="O26" s="449">
        <v>13</v>
      </c>
      <c r="P26" s="445">
        <v>3850</v>
      </c>
      <c r="Q26" s="446">
        <v>29</v>
      </c>
      <c r="R26" s="447">
        <v>14</v>
      </c>
      <c r="S26" s="446">
        <v>3</v>
      </c>
      <c r="T26" s="449">
        <v>14</v>
      </c>
      <c r="U26" s="448">
        <v>3824</v>
      </c>
      <c r="V26" s="446">
        <v>22</v>
      </c>
      <c r="W26" s="447">
        <v>30</v>
      </c>
      <c r="X26" s="446">
        <v>2</v>
      </c>
      <c r="Y26" s="447">
        <v>30</v>
      </c>
      <c r="Z26" s="445">
        <v>3804</v>
      </c>
      <c r="AA26" s="446">
        <v>21</v>
      </c>
      <c r="AB26" s="447">
        <v>40</v>
      </c>
      <c r="AC26" s="446">
        <v>2</v>
      </c>
      <c r="AD26" s="447">
        <v>40</v>
      </c>
      <c r="AE26" s="445">
        <v>3785</v>
      </c>
    </row>
    <row r="27" spans="2:31" ht="12.75">
      <c r="B27" s="444"/>
      <c r="C27" s="433"/>
      <c r="D27" s="438"/>
      <c r="E27" s="433" t="s">
        <v>443</v>
      </c>
      <c r="F27" s="445">
        <v>215</v>
      </c>
      <c r="G27" s="446">
        <v>1</v>
      </c>
      <c r="H27" s="447">
        <v>0</v>
      </c>
      <c r="I27" s="446">
        <v>0</v>
      </c>
      <c r="J27" s="449">
        <v>0</v>
      </c>
      <c r="K27" s="445">
        <v>214</v>
      </c>
      <c r="L27" s="446">
        <v>11</v>
      </c>
      <c r="M27" s="447">
        <v>0</v>
      </c>
      <c r="N27" s="446">
        <v>0</v>
      </c>
      <c r="O27" s="449">
        <v>0</v>
      </c>
      <c r="P27" s="445">
        <v>203</v>
      </c>
      <c r="Q27" s="446">
        <v>0</v>
      </c>
      <c r="R27" s="447">
        <v>0</v>
      </c>
      <c r="S27" s="446">
        <v>3</v>
      </c>
      <c r="T27" s="449">
        <v>0</v>
      </c>
      <c r="U27" s="448">
        <v>206</v>
      </c>
      <c r="V27" s="446">
        <v>5</v>
      </c>
      <c r="W27" s="447">
        <v>0</v>
      </c>
      <c r="X27" s="446">
        <v>1</v>
      </c>
      <c r="Y27" s="447">
        <v>0</v>
      </c>
      <c r="Z27" s="445">
        <v>202</v>
      </c>
      <c r="AA27" s="446">
        <v>4</v>
      </c>
      <c r="AB27" s="447">
        <v>0</v>
      </c>
      <c r="AC27" s="446">
        <v>1</v>
      </c>
      <c r="AD27" s="447">
        <v>0</v>
      </c>
      <c r="AE27" s="445">
        <v>199</v>
      </c>
    </row>
    <row r="28" spans="2:31" ht="12.75">
      <c r="B28" s="444"/>
      <c r="C28" s="433"/>
      <c r="D28" s="438"/>
      <c r="E28" s="433" t="s">
        <v>444</v>
      </c>
      <c r="F28" s="445">
        <v>3635</v>
      </c>
      <c r="G28" s="446">
        <v>6</v>
      </c>
      <c r="H28" s="447">
        <v>10</v>
      </c>
      <c r="I28" s="446">
        <v>14</v>
      </c>
      <c r="J28" s="449">
        <v>10</v>
      </c>
      <c r="K28" s="445">
        <v>3643</v>
      </c>
      <c r="L28" s="446">
        <v>5</v>
      </c>
      <c r="M28" s="447">
        <v>8</v>
      </c>
      <c r="N28" s="446">
        <v>11</v>
      </c>
      <c r="O28" s="449">
        <v>8</v>
      </c>
      <c r="P28" s="445">
        <v>3649</v>
      </c>
      <c r="Q28" s="446">
        <v>18</v>
      </c>
      <c r="R28" s="447">
        <v>8</v>
      </c>
      <c r="S28" s="446">
        <v>13</v>
      </c>
      <c r="T28" s="449">
        <v>8</v>
      </c>
      <c r="U28" s="448">
        <v>3644</v>
      </c>
      <c r="V28" s="446">
        <v>10</v>
      </c>
      <c r="W28" s="447">
        <v>0</v>
      </c>
      <c r="X28" s="446">
        <v>10</v>
      </c>
      <c r="Y28" s="447">
        <v>0</v>
      </c>
      <c r="Z28" s="445">
        <v>3644</v>
      </c>
      <c r="AA28" s="446">
        <v>9</v>
      </c>
      <c r="AB28" s="447">
        <v>0</v>
      </c>
      <c r="AC28" s="446">
        <v>10</v>
      </c>
      <c r="AD28" s="447">
        <v>0</v>
      </c>
      <c r="AE28" s="445">
        <v>3645</v>
      </c>
    </row>
    <row r="29" spans="2:31" ht="12.75">
      <c r="B29" s="444"/>
      <c r="C29" s="433"/>
      <c r="D29" s="438"/>
      <c r="E29" s="433" t="s">
        <v>570</v>
      </c>
      <c r="F29" s="445">
        <v>31144</v>
      </c>
      <c r="G29" s="446">
        <v>0</v>
      </c>
      <c r="H29" s="447">
        <v>511</v>
      </c>
      <c r="I29" s="446">
        <v>0</v>
      </c>
      <c r="J29" s="449">
        <v>640</v>
      </c>
      <c r="K29" s="445">
        <v>31273</v>
      </c>
      <c r="L29" s="446">
        <v>0</v>
      </c>
      <c r="M29" s="447">
        <v>0</v>
      </c>
      <c r="N29" s="446">
        <v>0</v>
      </c>
      <c r="O29" s="449">
        <v>0</v>
      </c>
      <c r="P29" s="445">
        <v>31273</v>
      </c>
      <c r="Q29" s="446">
        <v>0</v>
      </c>
      <c r="R29" s="447">
        <v>0</v>
      </c>
      <c r="S29" s="446">
        <v>0</v>
      </c>
      <c r="T29" s="449">
        <v>103</v>
      </c>
      <c r="U29" s="448">
        <v>31376</v>
      </c>
      <c r="V29" s="446">
        <v>0</v>
      </c>
      <c r="W29" s="447">
        <v>0</v>
      </c>
      <c r="X29" s="446">
        <v>0</v>
      </c>
      <c r="Y29" s="447">
        <v>0</v>
      </c>
      <c r="Z29" s="445">
        <v>31376</v>
      </c>
      <c r="AA29" s="446">
        <v>0</v>
      </c>
      <c r="AB29" s="447">
        <v>0</v>
      </c>
      <c r="AC29" s="446">
        <v>0</v>
      </c>
      <c r="AD29" s="447">
        <v>0</v>
      </c>
      <c r="AE29" s="445">
        <v>31376</v>
      </c>
    </row>
    <row r="30" spans="2:31" ht="12.75">
      <c r="B30" s="444"/>
      <c r="C30" s="433"/>
      <c r="D30" s="438"/>
      <c r="E30" s="433" t="s">
        <v>571</v>
      </c>
      <c r="F30" s="445">
        <v>2813</v>
      </c>
      <c r="G30" s="446">
        <v>20</v>
      </c>
      <c r="H30" s="447">
        <v>0</v>
      </c>
      <c r="I30" s="446">
        <v>0</v>
      </c>
      <c r="J30" s="449">
        <v>0</v>
      </c>
      <c r="K30" s="445">
        <v>2793</v>
      </c>
      <c r="L30" s="446">
        <v>36</v>
      </c>
      <c r="M30" s="447">
        <v>0</v>
      </c>
      <c r="N30" s="446">
        <v>0</v>
      </c>
      <c r="O30" s="449">
        <v>0</v>
      </c>
      <c r="P30" s="445">
        <v>2757</v>
      </c>
      <c r="Q30" s="446">
        <v>41</v>
      </c>
      <c r="R30" s="447">
        <v>0</v>
      </c>
      <c r="S30" s="446">
        <v>0</v>
      </c>
      <c r="T30" s="449">
        <v>0</v>
      </c>
      <c r="U30" s="448">
        <v>2716</v>
      </c>
      <c r="V30" s="446">
        <v>32</v>
      </c>
      <c r="W30" s="447">
        <v>0</v>
      </c>
      <c r="X30" s="446">
        <v>0</v>
      </c>
      <c r="Y30" s="447">
        <v>0</v>
      </c>
      <c r="Z30" s="445">
        <v>2684</v>
      </c>
      <c r="AA30" s="446">
        <v>31</v>
      </c>
      <c r="AB30" s="447">
        <v>0</v>
      </c>
      <c r="AC30" s="446">
        <v>0</v>
      </c>
      <c r="AD30" s="447">
        <v>0</v>
      </c>
      <c r="AE30" s="445">
        <v>2653</v>
      </c>
    </row>
    <row r="31" spans="2:31" ht="13.5" thickBot="1">
      <c r="B31" s="421"/>
      <c r="C31" s="422"/>
      <c r="D31" s="422"/>
      <c r="E31" s="422"/>
      <c r="F31" s="455"/>
      <c r="G31" s="456"/>
      <c r="H31" s="457"/>
      <c r="I31" s="456"/>
      <c r="J31" s="458"/>
      <c r="K31" s="459"/>
      <c r="L31" s="456"/>
      <c r="M31" s="457"/>
      <c r="N31" s="456"/>
      <c r="O31" s="458"/>
      <c r="P31" s="459"/>
      <c r="Q31" s="456"/>
      <c r="R31" s="457"/>
      <c r="S31" s="456"/>
      <c r="T31" s="458"/>
      <c r="U31" s="460"/>
      <c r="V31" s="456"/>
      <c r="W31" s="457"/>
      <c r="X31" s="456"/>
      <c r="Y31" s="457"/>
      <c r="Z31" s="459"/>
      <c r="AA31" s="456"/>
      <c r="AB31" s="457"/>
      <c r="AC31" s="456"/>
      <c r="AD31" s="457"/>
      <c r="AE31" s="459"/>
    </row>
    <row r="32" spans="2:31" ht="12.75">
      <c r="B32" s="461"/>
      <c r="C32" s="462" t="s">
        <v>572</v>
      </c>
      <c r="D32" s="462"/>
      <c r="E32" s="463"/>
      <c r="F32" s="450"/>
      <c r="G32" s="451"/>
      <c r="H32" s="452"/>
      <c r="I32" s="451"/>
      <c r="J32" s="453"/>
      <c r="K32" s="450"/>
      <c r="L32" s="451"/>
      <c r="M32" s="452"/>
      <c r="N32" s="451"/>
      <c r="O32" s="453"/>
      <c r="P32" s="450"/>
      <c r="Q32" s="451"/>
      <c r="R32" s="452"/>
      <c r="S32" s="451"/>
      <c r="T32" s="453"/>
      <c r="U32" s="454"/>
      <c r="V32" s="451"/>
      <c r="W32" s="452"/>
      <c r="X32" s="451"/>
      <c r="Y32" s="452"/>
      <c r="Z32" s="450"/>
      <c r="AA32" s="451"/>
      <c r="AB32" s="452"/>
      <c r="AC32" s="451"/>
      <c r="AD32" s="452"/>
      <c r="AE32" s="450"/>
    </row>
    <row r="33" spans="2:31" ht="12.75">
      <c r="B33" s="444"/>
      <c r="C33" s="433"/>
      <c r="D33" s="438" t="s">
        <v>264</v>
      </c>
      <c r="E33" s="433"/>
      <c r="F33" s="450"/>
      <c r="G33" s="451"/>
      <c r="H33" s="452"/>
      <c r="I33" s="451"/>
      <c r="J33" s="453"/>
      <c r="K33" s="450"/>
      <c r="L33" s="451"/>
      <c r="M33" s="452"/>
      <c r="N33" s="451"/>
      <c r="O33" s="453"/>
      <c r="P33" s="450"/>
      <c r="Q33" s="451"/>
      <c r="R33" s="452"/>
      <c r="S33" s="451"/>
      <c r="T33" s="453"/>
      <c r="U33" s="454"/>
      <c r="V33" s="451"/>
      <c r="W33" s="452"/>
      <c r="X33" s="451"/>
      <c r="Y33" s="452"/>
      <c r="Z33" s="450"/>
      <c r="AA33" s="451"/>
      <c r="AB33" s="452"/>
      <c r="AC33" s="451"/>
      <c r="AD33" s="452"/>
      <c r="AE33" s="450"/>
    </row>
    <row r="34" spans="2:31" ht="12.75">
      <c r="B34" s="444"/>
      <c r="C34" s="433"/>
      <c r="D34" s="438"/>
      <c r="E34" s="433" t="s">
        <v>573</v>
      </c>
      <c r="F34" s="445">
        <v>12254</v>
      </c>
      <c r="G34" s="446">
        <v>0</v>
      </c>
      <c r="H34" s="447">
        <v>52</v>
      </c>
      <c r="I34" s="446">
        <v>0</v>
      </c>
      <c r="J34" s="449">
        <v>32</v>
      </c>
      <c r="K34" s="445">
        <v>12234</v>
      </c>
      <c r="L34" s="446">
        <v>0</v>
      </c>
      <c r="M34" s="447">
        <v>89</v>
      </c>
      <c r="N34" s="446">
        <v>0</v>
      </c>
      <c r="O34" s="449">
        <v>77</v>
      </c>
      <c r="P34" s="445">
        <v>12222</v>
      </c>
      <c r="Q34" s="446">
        <v>0</v>
      </c>
      <c r="R34" s="447">
        <v>79</v>
      </c>
      <c r="S34" s="446">
        <v>0</v>
      </c>
      <c r="T34" s="449">
        <v>64</v>
      </c>
      <c r="U34" s="448">
        <v>12207</v>
      </c>
      <c r="V34" s="446">
        <v>0</v>
      </c>
      <c r="W34" s="447">
        <v>55</v>
      </c>
      <c r="X34" s="446">
        <v>0</v>
      </c>
      <c r="Y34" s="447">
        <v>55</v>
      </c>
      <c r="Z34" s="445">
        <v>12207</v>
      </c>
      <c r="AA34" s="446">
        <v>0</v>
      </c>
      <c r="AB34" s="447">
        <v>55</v>
      </c>
      <c r="AC34" s="446">
        <v>0</v>
      </c>
      <c r="AD34" s="447">
        <v>55</v>
      </c>
      <c r="AE34" s="445">
        <v>12207</v>
      </c>
    </row>
    <row r="35" spans="2:31" ht="12.75">
      <c r="B35" s="444"/>
      <c r="C35" s="433"/>
      <c r="D35" s="438"/>
      <c r="E35" s="433" t="s">
        <v>574</v>
      </c>
      <c r="F35" s="445">
        <v>0</v>
      </c>
      <c r="G35" s="446">
        <v>0</v>
      </c>
      <c r="H35" s="447">
        <v>0</v>
      </c>
      <c r="I35" s="446">
        <v>0</v>
      </c>
      <c r="J35" s="449">
        <v>0</v>
      </c>
      <c r="K35" s="445">
        <v>0</v>
      </c>
      <c r="L35" s="446">
        <v>0</v>
      </c>
      <c r="M35" s="447">
        <v>0</v>
      </c>
      <c r="N35" s="446">
        <v>0</v>
      </c>
      <c r="O35" s="449">
        <v>0</v>
      </c>
      <c r="P35" s="445">
        <v>0</v>
      </c>
      <c r="Q35" s="446">
        <v>0</v>
      </c>
      <c r="R35" s="447">
        <v>0</v>
      </c>
      <c r="S35" s="446">
        <v>0</v>
      </c>
      <c r="T35" s="449">
        <v>0</v>
      </c>
      <c r="U35" s="448">
        <v>0</v>
      </c>
      <c r="V35" s="446">
        <v>0</v>
      </c>
      <c r="W35" s="447">
        <v>0</v>
      </c>
      <c r="X35" s="446">
        <v>0</v>
      </c>
      <c r="Y35" s="447">
        <v>0</v>
      </c>
      <c r="Z35" s="445">
        <v>0</v>
      </c>
      <c r="AA35" s="446">
        <v>0</v>
      </c>
      <c r="AB35" s="447">
        <v>0</v>
      </c>
      <c r="AC35" s="446">
        <v>0</v>
      </c>
      <c r="AD35" s="447">
        <v>0</v>
      </c>
      <c r="AE35" s="445">
        <v>0</v>
      </c>
    </row>
    <row r="36" spans="2:31" ht="12.75">
      <c r="B36" s="444"/>
      <c r="C36" s="433"/>
      <c r="D36" s="433"/>
      <c r="E36" s="433" t="s">
        <v>575</v>
      </c>
      <c r="F36" s="445">
        <v>0</v>
      </c>
      <c r="G36" s="446">
        <v>0</v>
      </c>
      <c r="H36" s="447">
        <v>0</v>
      </c>
      <c r="I36" s="446">
        <v>0</v>
      </c>
      <c r="J36" s="449">
        <v>0</v>
      </c>
      <c r="K36" s="445">
        <v>0</v>
      </c>
      <c r="L36" s="446">
        <v>0</v>
      </c>
      <c r="M36" s="447">
        <v>0</v>
      </c>
      <c r="N36" s="446">
        <v>0</v>
      </c>
      <c r="O36" s="449">
        <v>0</v>
      </c>
      <c r="P36" s="445">
        <v>0</v>
      </c>
      <c r="Q36" s="446">
        <v>0</v>
      </c>
      <c r="R36" s="447">
        <v>0</v>
      </c>
      <c r="S36" s="446">
        <v>0</v>
      </c>
      <c r="T36" s="449">
        <v>0</v>
      </c>
      <c r="U36" s="448">
        <v>0</v>
      </c>
      <c r="V36" s="446">
        <v>0</v>
      </c>
      <c r="W36" s="447">
        <v>0</v>
      </c>
      <c r="X36" s="446">
        <v>0</v>
      </c>
      <c r="Y36" s="447">
        <v>0</v>
      </c>
      <c r="Z36" s="445">
        <v>0</v>
      </c>
      <c r="AA36" s="446">
        <v>0</v>
      </c>
      <c r="AB36" s="447">
        <v>0</v>
      </c>
      <c r="AC36" s="446">
        <v>0</v>
      </c>
      <c r="AD36" s="447">
        <v>0</v>
      </c>
      <c r="AE36" s="445">
        <v>0</v>
      </c>
    </row>
    <row r="37" spans="2:31" ht="12.75">
      <c r="B37" s="444"/>
      <c r="C37" s="433"/>
      <c r="D37" s="433"/>
      <c r="E37" s="433" t="s">
        <v>332</v>
      </c>
      <c r="F37" s="445">
        <v>0</v>
      </c>
      <c r="G37" s="446">
        <v>0</v>
      </c>
      <c r="H37" s="447">
        <v>0</v>
      </c>
      <c r="I37" s="446">
        <v>0</v>
      </c>
      <c r="J37" s="449">
        <v>0</v>
      </c>
      <c r="K37" s="445">
        <v>0</v>
      </c>
      <c r="L37" s="446">
        <v>0</v>
      </c>
      <c r="M37" s="447">
        <v>0</v>
      </c>
      <c r="N37" s="446">
        <v>0</v>
      </c>
      <c r="O37" s="449">
        <v>0</v>
      </c>
      <c r="P37" s="445">
        <v>0</v>
      </c>
      <c r="Q37" s="446">
        <v>0</v>
      </c>
      <c r="R37" s="447">
        <v>0</v>
      </c>
      <c r="S37" s="446">
        <v>0</v>
      </c>
      <c r="T37" s="449">
        <v>0</v>
      </c>
      <c r="U37" s="448">
        <v>0</v>
      </c>
      <c r="V37" s="446">
        <v>0</v>
      </c>
      <c r="W37" s="447">
        <v>0</v>
      </c>
      <c r="X37" s="446">
        <v>0</v>
      </c>
      <c r="Y37" s="447">
        <v>0</v>
      </c>
      <c r="Z37" s="445">
        <v>0</v>
      </c>
      <c r="AA37" s="446">
        <v>0</v>
      </c>
      <c r="AB37" s="447">
        <v>0</v>
      </c>
      <c r="AC37" s="446">
        <v>0</v>
      </c>
      <c r="AD37" s="447">
        <v>0</v>
      </c>
      <c r="AE37" s="445">
        <v>0</v>
      </c>
    </row>
    <row r="38" spans="2:31" ht="12.75">
      <c r="B38" s="444"/>
      <c r="C38" s="433"/>
      <c r="D38" s="433"/>
      <c r="E38" s="433"/>
      <c r="F38" s="450"/>
      <c r="G38" s="451"/>
      <c r="H38" s="452"/>
      <c r="I38" s="451"/>
      <c r="J38" s="453"/>
      <c r="K38" s="450"/>
      <c r="L38" s="451"/>
      <c r="M38" s="452"/>
      <c r="N38" s="451"/>
      <c r="O38" s="453"/>
      <c r="P38" s="450"/>
      <c r="Q38" s="451"/>
      <c r="R38" s="452"/>
      <c r="S38" s="451"/>
      <c r="T38" s="453"/>
      <c r="U38" s="454"/>
      <c r="V38" s="451"/>
      <c r="W38" s="452"/>
      <c r="X38" s="451"/>
      <c r="Y38" s="452"/>
      <c r="Z38" s="450"/>
      <c r="AA38" s="451"/>
      <c r="AB38" s="452"/>
      <c r="AC38" s="451"/>
      <c r="AD38" s="452"/>
      <c r="AE38" s="450"/>
    </row>
    <row r="39" spans="2:31" ht="12.75">
      <c r="B39" s="444"/>
      <c r="C39" s="433"/>
      <c r="D39" s="438" t="s">
        <v>430</v>
      </c>
      <c r="E39" s="433"/>
      <c r="F39" s="450"/>
      <c r="G39" s="451"/>
      <c r="H39" s="452"/>
      <c r="I39" s="451"/>
      <c r="J39" s="453"/>
      <c r="K39" s="450"/>
      <c r="L39" s="451"/>
      <c r="M39" s="452"/>
      <c r="N39" s="451"/>
      <c r="O39" s="453"/>
      <c r="P39" s="450"/>
      <c r="Q39" s="451"/>
      <c r="R39" s="452"/>
      <c r="S39" s="451"/>
      <c r="T39" s="453"/>
      <c r="U39" s="454"/>
      <c r="V39" s="451"/>
      <c r="W39" s="452"/>
      <c r="X39" s="451"/>
      <c r="Y39" s="452"/>
      <c r="Z39" s="450"/>
      <c r="AA39" s="451"/>
      <c r="AB39" s="452"/>
      <c r="AC39" s="451"/>
      <c r="AD39" s="452"/>
      <c r="AE39" s="450"/>
    </row>
    <row r="40" spans="2:31" ht="12.75">
      <c r="B40" s="444"/>
      <c r="C40" s="433"/>
      <c r="D40" s="463"/>
      <c r="E40" s="433" t="s">
        <v>453</v>
      </c>
      <c r="F40" s="445">
        <v>163307</v>
      </c>
      <c r="G40" s="446">
        <v>0</v>
      </c>
      <c r="H40" s="447">
        <v>1809</v>
      </c>
      <c r="I40" s="446">
        <v>0</v>
      </c>
      <c r="J40" s="449">
        <v>1678</v>
      </c>
      <c r="K40" s="445">
        <v>163176</v>
      </c>
      <c r="L40" s="446">
        <v>0</v>
      </c>
      <c r="M40" s="447">
        <v>2035</v>
      </c>
      <c r="N40" s="446">
        <v>0</v>
      </c>
      <c r="O40" s="449">
        <v>1912</v>
      </c>
      <c r="P40" s="445">
        <v>163053</v>
      </c>
      <c r="Q40" s="446">
        <v>0</v>
      </c>
      <c r="R40" s="447">
        <v>2381</v>
      </c>
      <c r="S40" s="446">
        <v>0</v>
      </c>
      <c r="T40" s="449">
        <v>1861</v>
      </c>
      <c r="U40" s="448">
        <v>162533</v>
      </c>
      <c r="V40" s="446">
        <v>0</v>
      </c>
      <c r="W40" s="447">
        <v>1582.5</v>
      </c>
      <c r="X40" s="446">
        <v>0</v>
      </c>
      <c r="Y40" s="447">
        <v>1582.5</v>
      </c>
      <c r="Z40" s="445">
        <v>162533</v>
      </c>
      <c r="AA40" s="446">
        <v>0</v>
      </c>
      <c r="AB40" s="447">
        <v>1582.5</v>
      </c>
      <c r="AC40" s="446">
        <v>0</v>
      </c>
      <c r="AD40" s="447">
        <v>1582.5</v>
      </c>
      <c r="AE40" s="445">
        <v>162533</v>
      </c>
    </row>
    <row r="41" spans="2:31" ht="12.75">
      <c r="B41" s="444"/>
      <c r="C41" s="433"/>
      <c r="D41" s="438"/>
      <c r="E41" s="433" t="s">
        <v>454</v>
      </c>
      <c r="F41" s="445">
        <v>0</v>
      </c>
      <c r="G41" s="446">
        <v>0</v>
      </c>
      <c r="H41" s="447">
        <v>0</v>
      </c>
      <c r="I41" s="446">
        <v>0</v>
      </c>
      <c r="J41" s="449">
        <v>0</v>
      </c>
      <c r="K41" s="445">
        <v>0</v>
      </c>
      <c r="L41" s="446">
        <v>0</v>
      </c>
      <c r="M41" s="447">
        <v>0</v>
      </c>
      <c r="N41" s="446">
        <v>0</v>
      </c>
      <c r="O41" s="449">
        <v>0</v>
      </c>
      <c r="P41" s="445">
        <v>0</v>
      </c>
      <c r="Q41" s="446">
        <v>0</v>
      </c>
      <c r="R41" s="447">
        <v>0</v>
      </c>
      <c r="S41" s="446">
        <v>0</v>
      </c>
      <c r="T41" s="449">
        <v>0</v>
      </c>
      <c r="U41" s="448">
        <v>0</v>
      </c>
      <c r="V41" s="446">
        <v>0</v>
      </c>
      <c r="W41" s="447">
        <v>0</v>
      </c>
      <c r="X41" s="446">
        <v>0</v>
      </c>
      <c r="Y41" s="447">
        <v>0</v>
      </c>
      <c r="Z41" s="445">
        <v>0</v>
      </c>
      <c r="AA41" s="446">
        <v>0</v>
      </c>
      <c r="AB41" s="447">
        <v>0</v>
      </c>
      <c r="AC41" s="446">
        <v>0</v>
      </c>
      <c r="AD41" s="447">
        <v>0</v>
      </c>
      <c r="AE41" s="445">
        <v>0</v>
      </c>
    </row>
    <row r="42" spans="2:31" ht="12.75">
      <c r="B42" s="444"/>
      <c r="C42" s="433"/>
      <c r="D42" s="433"/>
      <c r="E42" s="433"/>
      <c r="F42" s="450"/>
      <c r="G42" s="451"/>
      <c r="H42" s="452"/>
      <c r="I42" s="451"/>
      <c r="J42" s="453"/>
      <c r="K42" s="450"/>
      <c r="L42" s="451"/>
      <c r="M42" s="452"/>
      <c r="N42" s="451"/>
      <c r="O42" s="453"/>
      <c r="P42" s="450"/>
      <c r="Q42" s="451"/>
      <c r="R42" s="452"/>
      <c r="S42" s="451"/>
      <c r="T42" s="453"/>
      <c r="U42" s="454"/>
      <c r="V42" s="451"/>
      <c r="W42" s="452"/>
      <c r="X42" s="451"/>
      <c r="Y42" s="452"/>
      <c r="Z42" s="450"/>
      <c r="AA42" s="451"/>
      <c r="AB42" s="452"/>
      <c r="AC42" s="451"/>
      <c r="AD42" s="452"/>
      <c r="AE42" s="450"/>
    </row>
    <row r="43" spans="2:31" ht="12.75">
      <c r="B43" s="444"/>
      <c r="C43" s="433"/>
      <c r="D43" s="438" t="s">
        <v>455</v>
      </c>
      <c r="E43" s="433"/>
      <c r="F43" s="450"/>
      <c r="G43" s="451"/>
      <c r="H43" s="452"/>
      <c r="I43" s="451"/>
      <c r="J43" s="453"/>
      <c r="K43" s="450"/>
      <c r="L43" s="451"/>
      <c r="M43" s="452"/>
      <c r="N43" s="451"/>
      <c r="O43" s="453"/>
      <c r="P43" s="450"/>
      <c r="Q43" s="451"/>
      <c r="R43" s="452"/>
      <c r="S43" s="451"/>
      <c r="T43" s="453"/>
      <c r="U43" s="454"/>
      <c r="V43" s="451"/>
      <c r="W43" s="452"/>
      <c r="X43" s="451"/>
      <c r="Y43" s="452"/>
      <c r="Z43" s="450"/>
      <c r="AA43" s="451"/>
      <c r="AB43" s="452"/>
      <c r="AC43" s="451"/>
      <c r="AD43" s="452"/>
      <c r="AE43" s="450"/>
    </row>
    <row r="44" spans="2:31" ht="12.75">
      <c r="B44" s="444"/>
      <c r="C44" s="433"/>
      <c r="D44" s="438"/>
      <c r="E44" s="433" t="s">
        <v>456</v>
      </c>
      <c r="F44" s="445">
        <v>5119.7</v>
      </c>
      <c r="G44" s="446">
        <v>0</v>
      </c>
      <c r="H44" s="447">
        <v>0</v>
      </c>
      <c r="I44" s="446">
        <v>120</v>
      </c>
      <c r="J44" s="449">
        <v>0</v>
      </c>
      <c r="K44" s="445">
        <v>5239.7</v>
      </c>
      <c r="L44" s="446">
        <v>0</v>
      </c>
      <c r="M44" s="447">
        <v>11</v>
      </c>
      <c r="N44" s="446">
        <v>54.8</v>
      </c>
      <c r="O44" s="449">
        <v>11</v>
      </c>
      <c r="P44" s="445">
        <v>5294.5</v>
      </c>
      <c r="Q44" s="446">
        <v>0</v>
      </c>
      <c r="R44" s="447">
        <v>4.7</v>
      </c>
      <c r="S44" s="446">
        <v>66.9</v>
      </c>
      <c r="T44" s="449">
        <v>5</v>
      </c>
      <c r="U44" s="448">
        <v>5361.7</v>
      </c>
      <c r="V44" s="446">
        <v>0</v>
      </c>
      <c r="W44" s="447">
        <v>0</v>
      </c>
      <c r="X44" s="446">
        <v>51</v>
      </c>
      <c r="Y44" s="447">
        <v>0</v>
      </c>
      <c r="Z44" s="445">
        <v>5412.7</v>
      </c>
      <c r="AA44" s="446">
        <v>0</v>
      </c>
      <c r="AB44" s="447">
        <v>0</v>
      </c>
      <c r="AC44" s="446">
        <v>49</v>
      </c>
      <c r="AD44" s="447">
        <v>0</v>
      </c>
      <c r="AE44" s="445">
        <v>5461.7</v>
      </c>
    </row>
    <row r="45" spans="2:31" ht="12.75">
      <c r="B45" s="444"/>
      <c r="C45" s="433"/>
      <c r="D45" s="438"/>
      <c r="E45" s="433" t="s">
        <v>457</v>
      </c>
      <c r="F45" s="445">
        <v>0</v>
      </c>
      <c r="G45" s="446">
        <v>0</v>
      </c>
      <c r="H45" s="447">
        <v>0</v>
      </c>
      <c r="I45" s="446" t="s">
        <v>813</v>
      </c>
      <c r="J45" s="449">
        <v>0</v>
      </c>
      <c r="K45" s="445">
        <v>0</v>
      </c>
      <c r="L45" s="446">
        <v>0</v>
      </c>
      <c r="M45" s="447">
        <v>0</v>
      </c>
      <c r="N45" s="446" t="s">
        <v>813</v>
      </c>
      <c r="O45" s="449">
        <v>0</v>
      </c>
      <c r="P45" s="445">
        <v>0</v>
      </c>
      <c r="Q45" s="446">
        <v>0</v>
      </c>
      <c r="R45" s="447">
        <v>0</v>
      </c>
      <c r="S45" s="446" t="s">
        <v>813</v>
      </c>
      <c r="T45" s="449">
        <v>0</v>
      </c>
      <c r="U45" s="448">
        <v>0</v>
      </c>
      <c r="V45" s="446">
        <v>0</v>
      </c>
      <c r="W45" s="447">
        <v>0</v>
      </c>
      <c r="X45" s="446">
        <v>0</v>
      </c>
      <c r="Y45" s="447">
        <v>0</v>
      </c>
      <c r="Z45" s="445">
        <v>0</v>
      </c>
      <c r="AA45" s="446">
        <v>0</v>
      </c>
      <c r="AB45" s="447">
        <v>0</v>
      </c>
      <c r="AC45" s="446">
        <v>0</v>
      </c>
      <c r="AD45" s="447">
        <v>0</v>
      </c>
      <c r="AE45" s="445">
        <v>0</v>
      </c>
    </row>
    <row r="46" spans="2:31" ht="12.75">
      <c r="B46" s="444"/>
      <c r="C46" s="433"/>
      <c r="D46" s="438"/>
      <c r="E46" s="433"/>
      <c r="F46" s="450"/>
      <c r="G46" s="451"/>
      <c r="H46" s="452"/>
      <c r="I46" s="451"/>
      <c r="J46" s="453"/>
      <c r="K46" s="450"/>
      <c r="L46" s="451"/>
      <c r="M46" s="452"/>
      <c r="N46" s="451"/>
      <c r="O46" s="453"/>
      <c r="P46" s="450"/>
      <c r="Q46" s="451"/>
      <c r="R46" s="452"/>
      <c r="S46" s="451"/>
      <c r="T46" s="453"/>
      <c r="U46" s="454"/>
      <c r="V46" s="451"/>
      <c r="W46" s="452"/>
      <c r="X46" s="451"/>
      <c r="Y46" s="452"/>
      <c r="Z46" s="450"/>
      <c r="AA46" s="451"/>
      <c r="AB46" s="452"/>
      <c r="AC46" s="451"/>
      <c r="AD46" s="452"/>
      <c r="AE46" s="450"/>
    </row>
    <row r="47" spans="2:31" ht="12.75">
      <c r="B47" s="444"/>
      <c r="C47" s="433"/>
      <c r="D47" s="438" t="s">
        <v>597</v>
      </c>
      <c r="E47" s="433"/>
      <c r="F47" s="450"/>
      <c r="G47" s="451"/>
      <c r="H47" s="452"/>
      <c r="I47" s="451"/>
      <c r="J47" s="453"/>
      <c r="K47" s="450"/>
      <c r="L47" s="451"/>
      <c r="M47" s="452"/>
      <c r="N47" s="451"/>
      <c r="O47" s="453"/>
      <c r="P47" s="450"/>
      <c r="Q47" s="451"/>
      <c r="R47" s="452"/>
      <c r="S47" s="451"/>
      <c r="T47" s="453"/>
      <c r="U47" s="454"/>
      <c r="V47" s="451"/>
      <c r="W47" s="452"/>
      <c r="X47" s="451"/>
      <c r="Y47" s="452"/>
      <c r="Z47" s="450"/>
      <c r="AA47" s="451"/>
      <c r="AB47" s="452"/>
      <c r="AC47" s="451"/>
      <c r="AD47" s="452"/>
      <c r="AE47" s="450"/>
    </row>
    <row r="48" spans="2:31" ht="12.75">
      <c r="B48" s="444"/>
      <c r="C48" s="433"/>
      <c r="D48" s="438"/>
      <c r="E48" s="433" t="s">
        <v>598</v>
      </c>
      <c r="F48" s="445">
        <v>5</v>
      </c>
      <c r="G48" s="446">
        <v>0</v>
      </c>
      <c r="H48" s="447">
        <v>0</v>
      </c>
      <c r="I48" s="446" t="s">
        <v>813</v>
      </c>
      <c r="J48" s="449">
        <v>0</v>
      </c>
      <c r="K48" s="445">
        <v>5</v>
      </c>
      <c r="L48" s="446">
        <v>0</v>
      </c>
      <c r="M48" s="447">
        <v>0</v>
      </c>
      <c r="N48" s="446" t="s">
        <v>813</v>
      </c>
      <c r="O48" s="449">
        <v>0</v>
      </c>
      <c r="P48" s="445">
        <v>5</v>
      </c>
      <c r="Q48" s="446">
        <v>0</v>
      </c>
      <c r="R48" s="447">
        <v>0</v>
      </c>
      <c r="S48" s="446" t="s">
        <v>813</v>
      </c>
      <c r="T48" s="449">
        <v>0</v>
      </c>
      <c r="U48" s="448">
        <v>5</v>
      </c>
      <c r="V48" s="446">
        <v>0</v>
      </c>
      <c r="W48" s="447">
        <v>0</v>
      </c>
      <c r="X48" s="446">
        <v>0</v>
      </c>
      <c r="Y48" s="447">
        <v>0</v>
      </c>
      <c r="Z48" s="445">
        <v>5</v>
      </c>
      <c r="AA48" s="446">
        <v>0</v>
      </c>
      <c r="AB48" s="447">
        <v>0</v>
      </c>
      <c r="AC48" s="446">
        <v>0</v>
      </c>
      <c r="AD48" s="447">
        <v>0</v>
      </c>
      <c r="AE48" s="445">
        <v>5</v>
      </c>
    </row>
    <row r="49" spans="2:31" ht="12.75">
      <c r="B49" s="444"/>
      <c r="C49" s="433"/>
      <c r="D49" s="438"/>
      <c r="E49" s="433"/>
      <c r="F49" s="450"/>
      <c r="G49" s="451"/>
      <c r="H49" s="452"/>
      <c r="I49" s="451"/>
      <c r="J49" s="453"/>
      <c r="K49" s="450"/>
      <c r="L49" s="451"/>
      <c r="M49" s="452"/>
      <c r="N49" s="451"/>
      <c r="O49" s="453"/>
      <c r="P49" s="450"/>
      <c r="Q49" s="451"/>
      <c r="R49" s="452"/>
      <c r="S49" s="451"/>
      <c r="T49" s="453"/>
      <c r="U49" s="454"/>
      <c r="V49" s="451"/>
      <c r="W49" s="452"/>
      <c r="X49" s="451"/>
      <c r="Y49" s="452"/>
      <c r="Z49" s="450"/>
      <c r="AA49" s="451"/>
      <c r="AB49" s="452"/>
      <c r="AC49" s="451"/>
      <c r="AD49" s="452"/>
      <c r="AE49" s="450"/>
    </row>
    <row r="50" spans="2:31" ht="12.75">
      <c r="B50" s="444"/>
      <c r="C50" s="433"/>
      <c r="D50" s="438" t="s">
        <v>320</v>
      </c>
      <c r="E50" s="433"/>
      <c r="F50" s="450"/>
      <c r="G50" s="451"/>
      <c r="H50" s="452"/>
      <c r="I50" s="451"/>
      <c r="J50" s="453"/>
      <c r="K50" s="450"/>
      <c r="L50" s="451"/>
      <c r="M50" s="452"/>
      <c r="N50" s="451"/>
      <c r="O50" s="453"/>
      <c r="P50" s="450"/>
      <c r="Q50" s="451"/>
      <c r="R50" s="452"/>
      <c r="S50" s="451"/>
      <c r="T50" s="453"/>
      <c r="U50" s="454"/>
      <c r="V50" s="451"/>
      <c r="W50" s="452"/>
      <c r="X50" s="451"/>
      <c r="Y50" s="452"/>
      <c r="Z50" s="450"/>
      <c r="AA50" s="451"/>
      <c r="AB50" s="452"/>
      <c r="AC50" s="451"/>
      <c r="AD50" s="452"/>
      <c r="AE50" s="450"/>
    </row>
    <row r="51" spans="2:31" ht="12.75">
      <c r="B51" s="444"/>
      <c r="C51" s="433"/>
      <c r="D51" s="438"/>
      <c r="E51" s="433" t="s">
        <v>599</v>
      </c>
      <c r="F51" s="445">
        <v>615</v>
      </c>
      <c r="G51" s="446">
        <v>0</v>
      </c>
      <c r="H51" s="447">
        <v>48</v>
      </c>
      <c r="I51" s="446">
        <v>0</v>
      </c>
      <c r="J51" s="449">
        <v>196</v>
      </c>
      <c r="K51" s="445">
        <v>763</v>
      </c>
      <c r="L51" s="446">
        <v>0</v>
      </c>
      <c r="M51" s="447">
        <v>55</v>
      </c>
      <c r="N51" s="446">
        <v>0</v>
      </c>
      <c r="O51" s="449">
        <v>119</v>
      </c>
      <c r="P51" s="445">
        <v>827</v>
      </c>
      <c r="Q51" s="446">
        <v>0</v>
      </c>
      <c r="R51" s="447">
        <v>64</v>
      </c>
      <c r="S51" s="446">
        <v>0</v>
      </c>
      <c r="T51" s="449">
        <v>150</v>
      </c>
      <c r="U51" s="448">
        <v>913</v>
      </c>
      <c r="V51" s="446">
        <v>0</v>
      </c>
      <c r="W51" s="447">
        <v>100</v>
      </c>
      <c r="X51" s="446">
        <v>0</v>
      </c>
      <c r="Y51" s="447">
        <v>100</v>
      </c>
      <c r="Z51" s="445">
        <v>913</v>
      </c>
      <c r="AA51" s="446">
        <v>0</v>
      </c>
      <c r="AB51" s="447">
        <v>43</v>
      </c>
      <c r="AC51" s="446">
        <v>0</v>
      </c>
      <c r="AD51" s="447">
        <v>43</v>
      </c>
      <c r="AE51" s="445">
        <v>913</v>
      </c>
    </row>
    <row r="52" spans="2:31" ht="12.75">
      <c r="B52" s="444"/>
      <c r="C52" s="433"/>
      <c r="D52" s="438"/>
      <c r="E52" s="433" t="s">
        <v>609</v>
      </c>
      <c r="F52" s="445">
        <v>2940</v>
      </c>
      <c r="G52" s="446">
        <v>0</v>
      </c>
      <c r="H52" s="447">
        <v>24</v>
      </c>
      <c r="I52" s="446">
        <v>15</v>
      </c>
      <c r="J52" s="449">
        <v>36</v>
      </c>
      <c r="K52" s="445">
        <v>2967</v>
      </c>
      <c r="L52" s="446">
        <v>7</v>
      </c>
      <c r="M52" s="447">
        <v>43</v>
      </c>
      <c r="N52" s="446">
        <v>22</v>
      </c>
      <c r="O52" s="449">
        <v>33</v>
      </c>
      <c r="P52" s="445">
        <v>2972</v>
      </c>
      <c r="Q52" s="446">
        <v>0</v>
      </c>
      <c r="R52" s="447">
        <v>43</v>
      </c>
      <c r="S52" s="446">
        <v>13</v>
      </c>
      <c r="T52" s="449">
        <v>50</v>
      </c>
      <c r="U52" s="448">
        <v>2992</v>
      </c>
      <c r="V52" s="446">
        <v>3</v>
      </c>
      <c r="W52" s="447">
        <v>50</v>
      </c>
      <c r="X52" s="446">
        <v>15</v>
      </c>
      <c r="Y52" s="447">
        <v>50</v>
      </c>
      <c r="Z52" s="445">
        <v>3004</v>
      </c>
      <c r="AA52" s="446">
        <v>3</v>
      </c>
      <c r="AB52" s="447">
        <v>50</v>
      </c>
      <c r="AC52" s="446">
        <v>14</v>
      </c>
      <c r="AD52" s="447">
        <v>50</v>
      </c>
      <c r="AE52" s="445">
        <v>3015</v>
      </c>
    </row>
    <row r="53" spans="2:31" ht="12.75">
      <c r="B53" s="444"/>
      <c r="C53" s="433"/>
      <c r="D53" s="438"/>
      <c r="E53" s="433" t="s">
        <v>610</v>
      </c>
      <c r="F53" s="445">
        <v>138</v>
      </c>
      <c r="G53" s="446">
        <v>0</v>
      </c>
      <c r="H53" s="447">
        <v>3</v>
      </c>
      <c r="I53" s="446">
        <v>0</v>
      </c>
      <c r="J53" s="449">
        <v>15</v>
      </c>
      <c r="K53" s="445">
        <v>150</v>
      </c>
      <c r="L53" s="446">
        <v>0</v>
      </c>
      <c r="M53" s="447">
        <v>2</v>
      </c>
      <c r="N53" s="446">
        <v>0</v>
      </c>
      <c r="O53" s="449">
        <v>14</v>
      </c>
      <c r="P53" s="445">
        <v>162</v>
      </c>
      <c r="Q53" s="446">
        <v>8</v>
      </c>
      <c r="R53" s="447">
        <v>3</v>
      </c>
      <c r="S53" s="446">
        <v>0</v>
      </c>
      <c r="T53" s="449">
        <v>3</v>
      </c>
      <c r="U53" s="448">
        <v>154</v>
      </c>
      <c r="V53" s="446">
        <v>3</v>
      </c>
      <c r="W53" s="447">
        <v>100</v>
      </c>
      <c r="X53" s="446">
        <v>0</v>
      </c>
      <c r="Y53" s="447">
        <v>100</v>
      </c>
      <c r="Z53" s="445">
        <v>151</v>
      </c>
      <c r="AA53" s="446">
        <v>3</v>
      </c>
      <c r="AB53" s="447">
        <v>43</v>
      </c>
      <c r="AC53" s="446">
        <v>0</v>
      </c>
      <c r="AD53" s="447">
        <v>43</v>
      </c>
      <c r="AE53" s="445">
        <v>148</v>
      </c>
    </row>
    <row r="54" spans="2:31" ht="12.75">
      <c r="B54" s="444"/>
      <c r="C54" s="433"/>
      <c r="D54" s="438"/>
      <c r="E54" s="433" t="s">
        <v>611</v>
      </c>
      <c r="F54" s="445">
        <v>2496</v>
      </c>
      <c r="G54" s="446">
        <v>14</v>
      </c>
      <c r="H54" s="447">
        <v>18</v>
      </c>
      <c r="I54" s="446">
        <v>4</v>
      </c>
      <c r="J54" s="449">
        <v>18</v>
      </c>
      <c r="K54" s="445">
        <v>2486</v>
      </c>
      <c r="L54" s="446">
        <v>48</v>
      </c>
      <c r="M54" s="447">
        <v>26</v>
      </c>
      <c r="N54" s="446">
        <v>5</v>
      </c>
      <c r="O54" s="449">
        <v>25</v>
      </c>
      <c r="P54" s="445">
        <v>2442</v>
      </c>
      <c r="Q54" s="446">
        <v>50</v>
      </c>
      <c r="R54" s="447">
        <v>26</v>
      </c>
      <c r="S54" s="446">
        <v>8</v>
      </c>
      <c r="T54" s="449">
        <v>26</v>
      </c>
      <c r="U54" s="448">
        <v>2400</v>
      </c>
      <c r="V54" s="446">
        <v>41</v>
      </c>
      <c r="W54" s="447">
        <v>25</v>
      </c>
      <c r="X54" s="446">
        <v>6</v>
      </c>
      <c r="Y54" s="447">
        <v>25</v>
      </c>
      <c r="Z54" s="445">
        <v>2365</v>
      </c>
      <c r="AA54" s="446">
        <v>40</v>
      </c>
      <c r="AB54" s="447">
        <v>50</v>
      </c>
      <c r="AC54" s="446">
        <v>5</v>
      </c>
      <c r="AD54" s="447">
        <v>50</v>
      </c>
      <c r="AE54" s="445">
        <v>2330</v>
      </c>
    </row>
    <row r="55" spans="2:31" ht="12.75">
      <c r="B55" s="444"/>
      <c r="C55" s="433"/>
      <c r="D55" s="438"/>
      <c r="E55" s="433" t="s">
        <v>468</v>
      </c>
      <c r="F55" s="445">
        <v>7060</v>
      </c>
      <c r="G55" s="446">
        <v>0</v>
      </c>
      <c r="H55" s="447">
        <v>49</v>
      </c>
      <c r="I55" s="446">
        <v>83</v>
      </c>
      <c r="J55" s="449">
        <v>72</v>
      </c>
      <c r="K55" s="445">
        <v>7166</v>
      </c>
      <c r="L55" s="446">
        <v>0</v>
      </c>
      <c r="M55" s="447">
        <v>72</v>
      </c>
      <c r="N55" s="446">
        <v>87</v>
      </c>
      <c r="O55" s="449">
        <v>73</v>
      </c>
      <c r="P55" s="445">
        <v>7254</v>
      </c>
      <c r="Q55" s="446">
        <v>5</v>
      </c>
      <c r="R55" s="447">
        <v>100</v>
      </c>
      <c r="S55" s="446">
        <v>114</v>
      </c>
      <c r="T55" s="449">
        <v>100</v>
      </c>
      <c r="U55" s="448">
        <v>7363</v>
      </c>
      <c r="V55" s="446">
        <v>2</v>
      </c>
      <c r="W55" s="447">
        <v>225</v>
      </c>
      <c r="X55" s="446">
        <v>85</v>
      </c>
      <c r="Y55" s="447">
        <v>225</v>
      </c>
      <c r="Z55" s="445">
        <v>7446</v>
      </c>
      <c r="AA55" s="446">
        <v>2</v>
      </c>
      <c r="AB55" s="447">
        <v>160</v>
      </c>
      <c r="AC55" s="446">
        <v>82</v>
      </c>
      <c r="AD55" s="447">
        <v>160</v>
      </c>
      <c r="AE55" s="445">
        <v>7526</v>
      </c>
    </row>
    <row r="56" spans="2:31" ht="12.75">
      <c r="B56" s="444"/>
      <c r="C56" s="433"/>
      <c r="D56" s="438"/>
      <c r="E56" s="433" t="s">
        <v>469</v>
      </c>
      <c r="F56" s="445">
        <v>5011</v>
      </c>
      <c r="G56" s="446">
        <v>0</v>
      </c>
      <c r="H56" s="447">
        <v>93</v>
      </c>
      <c r="I56" s="446">
        <v>21</v>
      </c>
      <c r="J56" s="449">
        <v>252</v>
      </c>
      <c r="K56" s="445">
        <v>5191</v>
      </c>
      <c r="L56" s="446">
        <v>0</v>
      </c>
      <c r="M56" s="447">
        <v>36</v>
      </c>
      <c r="N56" s="446">
        <v>24</v>
      </c>
      <c r="O56" s="449">
        <v>305</v>
      </c>
      <c r="P56" s="445">
        <v>5484</v>
      </c>
      <c r="Q56" s="446">
        <v>0</v>
      </c>
      <c r="R56" s="447">
        <v>65</v>
      </c>
      <c r="S56" s="446">
        <v>20</v>
      </c>
      <c r="T56" s="449">
        <v>227</v>
      </c>
      <c r="U56" s="448">
        <v>5666</v>
      </c>
      <c r="V56" s="446">
        <v>0</v>
      </c>
      <c r="W56" s="447">
        <v>0</v>
      </c>
      <c r="X56" s="446">
        <v>18</v>
      </c>
      <c r="Y56" s="447">
        <v>0</v>
      </c>
      <c r="Z56" s="445">
        <v>5684</v>
      </c>
      <c r="AA56" s="446">
        <v>0</v>
      </c>
      <c r="AB56" s="447">
        <v>0</v>
      </c>
      <c r="AC56" s="446">
        <v>18</v>
      </c>
      <c r="AD56" s="447">
        <v>0</v>
      </c>
      <c r="AE56" s="445">
        <v>5702</v>
      </c>
    </row>
    <row r="57" spans="2:31" ht="12.75">
      <c r="B57" s="444"/>
      <c r="C57" s="433"/>
      <c r="D57" s="438"/>
      <c r="E57" s="433" t="s">
        <v>601</v>
      </c>
      <c r="F57" s="445">
        <v>1</v>
      </c>
      <c r="G57" s="446">
        <v>0</v>
      </c>
      <c r="H57" s="447">
        <v>0</v>
      </c>
      <c r="I57" s="446">
        <v>0</v>
      </c>
      <c r="J57" s="449">
        <v>0</v>
      </c>
      <c r="K57" s="445">
        <v>1</v>
      </c>
      <c r="L57" s="446">
        <v>0</v>
      </c>
      <c r="M57" s="447">
        <v>0</v>
      </c>
      <c r="N57" s="446">
        <v>0</v>
      </c>
      <c r="O57" s="449">
        <v>0</v>
      </c>
      <c r="P57" s="445">
        <v>1</v>
      </c>
      <c r="Q57" s="446">
        <v>0</v>
      </c>
      <c r="R57" s="447">
        <v>0</v>
      </c>
      <c r="S57" s="446">
        <v>0</v>
      </c>
      <c r="T57" s="449">
        <v>0</v>
      </c>
      <c r="U57" s="448">
        <v>1</v>
      </c>
      <c r="V57" s="446">
        <v>0</v>
      </c>
      <c r="W57" s="447">
        <v>0</v>
      </c>
      <c r="X57" s="446">
        <v>0</v>
      </c>
      <c r="Y57" s="447">
        <v>0</v>
      </c>
      <c r="Z57" s="445">
        <v>1</v>
      </c>
      <c r="AA57" s="446">
        <v>0</v>
      </c>
      <c r="AB57" s="447">
        <v>0</v>
      </c>
      <c r="AC57" s="446">
        <v>0</v>
      </c>
      <c r="AD57" s="447">
        <v>0</v>
      </c>
      <c r="AE57" s="445">
        <v>1</v>
      </c>
    </row>
    <row r="58" spans="2:31" ht="12.75">
      <c r="B58" s="444"/>
      <c r="C58" s="433"/>
      <c r="D58" s="433"/>
      <c r="E58" s="433" t="s">
        <v>346</v>
      </c>
      <c r="F58" s="445">
        <v>0</v>
      </c>
      <c r="G58" s="446">
        <v>0</v>
      </c>
      <c r="H58" s="447">
        <v>0</v>
      </c>
      <c r="I58" s="446">
        <v>0</v>
      </c>
      <c r="J58" s="449">
        <v>0</v>
      </c>
      <c r="K58" s="445">
        <v>0</v>
      </c>
      <c r="L58" s="446">
        <v>0</v>
      </c>
      <c r="M58" s="447">
        <v>0</v>
      </c>
      <c r="N58" s="446">
        <v>0</v>
      </c>
      <c r="O58" s="449">
        <v>0</v>
      </c>
      <c r="P58" s="445">
        <v>0</v>
      </c>
      <c r="Q58" s="446">
        <v>0</v>
      </c>
      <c r="R58" s="447">
        <v>0</v>
      </c>
      <c r="S58" s="446">
        <v>0</v>
      </c>
      <c r="T58" s="449">
        <v>0</v>
      </c>
      <c r="U58" s="448">
        <v>0</v>
      </c>
      <c r="V58" s="446">
        <v>0</v>
      </c>
      <c r="W58" s="447">
        <v>0</v>
      </c>
      <c r="X58" s="446">
        <v>0</v>
      </c>
      <c r="Y58" s="447">
        <v>0</v>
      </c>
      <c r="Z58" s="445">
        <v>0</v>
      </c>
      <c r="AA58" s="446">
        <v>0</v>
      </c>
      <c r="AB58" s="447">
        <v>0</v>
      </c>
      <c r="AC58" s="446">
        <v>0</v>
      </c>
      <c r="AD58" s="447">
        <v>0</v>
      </c>
      <c r="AE58" s="445">
        <v>0</v>
      </c>
    </row>
    <row r="59" spans="2:31" ht="12.75">
      <c r="B59" s="444"/>
      <c r="C59" s="433"/>
      <c r="D59" s="433"/>
      <c r="E59" s="433" t="s">
        <v>216</v>
      </c>
      <c r="F59" s="445">
        <v>0</v>
      </c>
      <c r="G59" s="446">
        <v>0</v>
      </c>
      <c r="H59" s="447">
        <v>0</v>
      </c>
      <c r="I59" s="446">
        <v>0</v>
      </c>
      <c r="J59" s="449">
        <v>0</v>
      </c>
      <c r="K59" s="445">
        <v>0</v>
      </c>
      <c r="L59" s="446">
        <v>0</v>
      </c>
      <c r="M59" s="447">
        <v>0</v>
      </c>
      <c r="N59" s="446">
        <v>0</v>
      </c>
      <c r="O59" s="449">
        <v>0</v>
      </c>
      <c r="P59" s="445">
        <v>0</v>
      </c>
      <c r="Q59" s="446">
        <v>0</v>
      </c>
      <c r="R59" s="447">
        <v>0</v>
      </c>
      <c r="S59" s="446">
        <v>0</v>
      </c>
      <c r="T59" s="449">
        <v>0</v>
      </c>
      <c r="U59" s="448">
        <v>0</v>
      </c>
      <c r="V59" s="446">
        <v>0</v>
      </c>
      <c r="W59" s="447">
        <v>0</v>
      </c>
      <c r="X59" s="446">
        <v>0</v>
      </c>
      <c r="Y59" s="447">
        <v>0</v>
      </c>
      <c r="Z59" s="445">
        <v>0</v>
      </c>
      <c r="AA59" s="446">
        <v>0</v>
      </c>
      <c r="AB59" s="447">
        <v>0</v>
      </c>
      <c r="AC59" s="446">
        <v>0</v>
      </c>
      <c r="AD59" s="447">
        <v>0</v>
      </c>
      <c r="AE59" s="445">
        <v>0</v>
      </c>
    </row>
    <row r="60" spans="2:31" ht="12.75">
      <c r="B60" s="444"/>
      <c r="C60" s="433"/>
      <c r="D60" s="438"/>
      <c r="E60" s="433" t="s">
        <v>217</v>
      </c>
      <c r="F60" s="445">
        <v>0</v>
      </c>
      <c r="G60" s="446">
        <v>0</v>
      </c>
      <c r="H60" s="447">
        <v>0</v>
      </c>
      <c r="I60" s="446">
        <v>0</v>
      </c>
      <c r="J60" s="449">
        <v>0</v>
      </c>
      <c r="K60" s="445">
        <v>0</v>
      </c>
      <c r="L60" s="446">
        <v>0</v>
      </c>
      <c r="M60" s="447">
        <v>0</v>
      </c>
      <c r="N60" s="446">
        <v>0</v>
      </c>
      <c r="O60" s="449">
        <v>0</v>
      </c>
      <c r="P60" s="445">
        <v>0</v>
      </c>
      <c r="Q60" s="446">
        <v>0</v>
      </c>
      <c r="R60" s="447">
        <v>0</v>
      </c>
      <c r="S60" s="446">
        <v>0</v>
      </c>
      <c r="T60" s="449">
        <v>0</v>
      </c>
      <c r="U60" s="448">
        <v>0</v>
      </c>
      <c r="V60" s="446">
        <v>0</v>
      </c>
      <c r="W60" s="447">
        <v>0</v>
      </c>
      <c r="X60" s="446">
        <v>0</v>
      </c>
      <c r="Y60" s="447">
        <v>0</v>
      </c>
      <c r="Z60" s="445">
        <v>0</v>
      </c>
      <c r="AA60" s="446">
        <v>0</v>
      </c>
      <c r="AB60" s="447">
        <v>0</v>
      </c>
      <c r="AC60" s="446">
        <v>0</v>
      </c>
      <c r="AD60" s="447">
        <v>0</v>
      </c>
      <c r="AE60" s="445">
        <v>0</v>
      </c>
    </row>
    <row r="61" spans="2:31" ht="12.75">
      <c r="B61" s="444"/>
      <c r="C61" s="433"/>
      <c r="D61" s="438"/>
      <c r="E61" s="433" t="s">
        <v>218</v>
      </c>
      <c r="F61" s="445">
        <v>0</v>
      </c>
      <c r="G61" s="446">
        <v>0</v>
      </c>
      <c r="H61" s="447">
        <v>0</v>
      </c>
      <c r="I61" s="446">
        <v>0</v>
      </c>
      <c r="J61" s="449">
        <v>0</v>
      </c>
      <c r="K61" s="445">
        <v>0</v>
      </c>
      <c r="L61" s="446">
        <v>0</v>
      </c>
      <c r="M61" s="447">
        <v>0</v>
      </c>
      <c r="N61" s="446">
        <v>0</v>
      </c>
      <c r="O61" s="449">
        <v>0</v>
      </c>
      <c r="P61" s="445">
        <v>0</v>
      </c>
      <c r="Q61" s="446">
        <v>0</v>
      </c>
      <c r="R61" s="447">
        <v>0</v>
      </c>
      <c r="S61" s="446">
        <v>0</v>
      </c>
      <c r="T61" s="449">
        <v>0</v>
      </c>
      <c r="U61" s="448">
        <v>0</v>
      </c>
      <c r="V61" s="446">
        <v>0</v>
      </c>
      <c r="W61" s="447">
        <v>0</v>
      </c>
      <c r="X61" s="446">
        <v>0</v>
      </c>
      <c r="Y61" s="447">
        <v>0</v>
      </c>
      <c r="Z61" s="445">
        <v>0</v>
      </c>
      <c r="AA61" s="446">
        <v>0</v>
      </c>
      <c r="AB61" s="447">
        <v>0</v>
      </c>
      <c r="AC61" s="446">
        <v>0</v>
      </c>
      <c r="AD61" s="447">
        <v>0</v>
      </c>
      <c r="AE61" s="445">
        <v>0</v>
      </c>
    </row>
    <row r="62" spans="2:31" ht="12.75">
      <c r="B62" s="444"/>
      <c r="C62" s="433"/>
      <c r="D62" s="438"/>
      <c r="E62" s="433" t="s">
        <v>221</v>
      </c>
      <c r="F62" s="445">
        <v>0</v>
      </c>
      <c r="G62" s="446">
        <v>0</v>
      </c>
      <c r="H62" s="447">
        <v>0</v>
      </c>
      <c r="I62" s="446">
        <v>0</v>
      </c>
      <c r="J62" s="449">
        <v>0</v>
      </c>
      <c r="K62" s="445">
        <v>0</v>
      </c>
      <c r="L62" s="446">
        <v>0</v>
      </c>
      <c r="M62" s="447">
        <v>0</v>
      </c>
      <c r="N62" s="446">
        <v>0</v>
      </c>
      <c r="O62" s="449">
        <v>0</v>
      </c>
      <c r="P62" s="445">
        <v>0</v>
      </c>
      <c r="Q62" s="446">
        <v>0</v>
      </c>
      <c r="R62" s="447">
        <v>0</v>
      </c>
      <c r="S62" s="446">
        <v>0</v>
      </c>
      <c r="T62" s="449">
        <v>0</v>
      </c>
      <c r="U62" s="448">
        <v>0</v>
      </c>
      <c r="V62" s="446">
        <v>0</v>
      </c>
      <c r="W62" s="447">
        <v>0</v>
      </c>
      <c r="X62" s="446">
        <v>0</v>
      </c>
      <c r="Y62" s="447">
        <v>0</v>
      </c>
      <c r="Z62" s="445">
        <v>0</v>
      </c>
      <c r="AA62" s="446">
        <v>0</v>
      </c>
      <c r="AB62" s="447">
        <v>0</v>
      </c>
      <c r="AC62" s="446">
        <v>0</v>
      </c>
      <c r="AD62" s="447">
        <v>0</v>
      </c>
      <c r="AE62" s="445">
        <v>0</v>
      </c>
    </row>
    <row r="63" spans="2:31" ht="12.75">
      <c r="B63" s="444"/>
      <c r="C63" s="433"/>
      <c r="D63" s="438"/>
      <c r="E63" s="433" t="s">
        <v>349</v>
      </c>
      <c r="F63" s="445">
        <v>0</v>
      </c>
      <c r="G63" s="446">
        <v>0</v>
      </c>
      <c r="H63" s="447">
        <v>0</v>
      </c>
      <c r="I63" s="446">
        <v>0</v>
      </c>
      <c r="J63" s="449">
        <v>0</v>
      </c>
      <c r="K63" s="445">
        <v>0</v>
      </c>
      <c r="L63" s="446">
        <v>0</v>
      </c>
      <c r="M63" s="447">
        <v>0</v>
      </c>
      <c r="N63" s="446">
        <v>0</v>
      </c>
      <c r="O63" s="449">
        <v>0</v>
      </c>
      <c r="P63" s="445">
        <v>0</v>
      </c>
      <c r="Q63" s="446">
        <v>0</v>
      </c>
      <c r="R63" s="447">
        <v>0</v>
      </c>
      <c r="S63" s="446">
        <v>0</v>
      </c>
      <c r="T63" s="449">
        <v>0</v>
      </c>
      <c r="U63" s="448">
        <v>0</v>
      </c>
      <c r="V63" s="446">
        <v>0</v>
      </c>
      <c r="W63" s="447">
        <v>0</v>
      </c>
      <c r="X63" s="446">
        <v>0</v>
      </c>
      <c r="Y63" s="447">
        <v>0</v>
      </c>
      <c r="Z63" s="445">
        <v>0</v>
      </c>
      <c r="AA63" s="446">
        <v>0</v>
      </c>
      <c r="AB63" s="447">
        <v>0</v>
      </c>
      <c r="AC63" s="446">
        <v>0</v>
      </c>
      <c r="AD63" s="447">
        <v>0</v>
      </c>
      <c r="AE63" s="445">
        <v>0</v>
      </c>
    </row>
    <row r="64" spans="2:31" ht="12.75">
      <c r="B64" s="444"/>
      <c r="C64" s="433"/>
      <c r="D64" s="438"/>
      <c r="E64" s="433" t="s">
        <v>226</v>
      </c>
      <c r="F64" s="445">
        <v>0</v>
      </c>
      <c r="G64" s="446">
        <v>0</v>
      </c>
      <c r="H64" s="447">
        <v>0</v>
      </c>
      <c r="I64" s="446">
        <v>0</v>
      </c>
      <c r="J64" s="449">
        <v>0</v>
      </c>
      <c r="K64" s="445">
        <v>0</v>
      </c>
      <c r="L64" s="446">
        <v>0</v>
      </c>
      <c r="M64" s="447">
        <v>0</v>
      </c>
      <c r="N64" s="446">
        <v>0</v>
      </c>
      <c r="O64" s="449">
        <v>0</v>
      </c>
      <c r="P64" s="445">
        <v>0</v>
      </c>
      <c r="Q64" s="446">
        <v>0</v>
      </c>
      <c r="R64" s="447">
        <v>0</v>
      </c>
      <c r="S64" s="446">
        <v>0</v>
      </c>
      <c r="T64" s="449">
        <v>0</v>
      </c>
      <c r="U64" s="448">
        <v>0</v>
      </c>
      <c r="V64" s="446">
        <v>0</v>
      </c>
      <c r="W64" s="447">
        <v>0</v>
      </c>
      <c r="X64" s="446">
        <v>0</v>
      </c>
      <c r="Y64" s="447">
        <v>0</v>
      </c>
      <c r="Z64" s="445">
        <v>0</v>
      </c>
      <c r="AA64" s="446">
        <v>0</v>
      </c>
      <c r="AB64" s="447">
        <v>0</v>
      </c>
      <c r="AC64" s="446">
        <v>0</v>
      </c>
      <c r="AD64" s="447">
        <v>0</v>
      </c>
      <c r="AE64" s="445">
        <v>0</v>
      </c>
    </row>
    <row r="65" spans="2:31" ht="12.75">
      <c r="B65" s="444"/>
      <c r="C65" s="433"/>
      <c r="D65" s="438"/>
      <c r="E65" s="433"/>
      <c r="F65" s="450"/>
      <c r="G65" s="451"/>
      <c r="H65" s="452"/>
      <c r="I65" s="451"/>
      <c r="J65" s="453"/>
      <c r="K65" s="450"/>
      <c r="L65" s="451"/>
      <c r="M65" s="452"/>
      <c r="N65" s="451"/>
      <c r="O65" s="453"/>
      <c r="P65" s="450"/>
      <c r="Q65" s="451"/>
      <c r="R65" s="452"/>
      <c r="S65" s="451"/>
      <c r="T65" s="453"/>
      <c r="U65" s="454"/>
      <c r="V65" s="451"/>
      <c r="W65" s="452"/>
      <c r="X65" s="451"/>
      <c r="Y65" s="452"/>
      <c r="Z65" s="450"/>
      <c r="AA65" s="451"/>
      <c r="AB65" s="452"/>
      <c r="AC65" s="451"/>
      <c r="AD65" s="452"/>
      <c r="AE65" s="450"/>
    </row>
    <row r="66" spans="2:31" ht="12.75">
      <c r="B66" s="444"/>
      <c r="C66" s="433"/>
      <c r="D66" s="438" t="s">
        <v>227</v>
      </c>
      <c r="E66" s="433"/>
      <c r="F66" s="450"/>
      <c r="G66" s="451"/>
      <c r="H66" s="452"/>
      <c r="I66" s="451"/>
      <c r="J66" s="453"/>
      <c r="K66" s="450"/>
      <c r="L66" s="451"/>
      <c r="M66" s="452"/>
      <c r="N66" s="451"/>
      <c r="O66" s="453"/>
      <c r="P66" s="450"/>
      <c r="Q66" s="451"/>
      <c r="R66" s="452"/>
      <c r="S66" s="451"/>
      <c r="T66" s="453"/>
      <c r="U66" s="454"/>
      <c r="V66" s="451"/>
      <c r="W66" s="452"/>
      <c r="X66" s="451"/>
      <c r="Y66" s="452"/>
      <c r="Z66" s="450"/>
      <c r="AA66" s="451"/>
      <c r="AB66" s="452"/>
      <c r="AC66" s="451"/>
      <c r="AD66" s="452"/>
      <c r="AE66" s="450"/>
    </row>
    <row r="67" spans="2:31" ht="12.75">
      <c r="B67" s="444"/>
      <c r="C67" s="433"/>
      <c r="D67" s="438"/>
      <c r="E67" s="433" t="s">
        <v>228</v>
      </c>
      <c r="F67" s="445">
        <v>31144</v>
      </c>
      <c r="G67" s="446">
        <v>0</v>
      </c>
      <c r="H67" s="447">
        <v>511</v>
      </c>
      <c r="I67" s="446">
        <v>127</v>
      </c>
      <c r="J67" s="449">
        <v>513</v>
      </c>
      <c r="K67" s="445">
        <v>31273</v>
      </c>
      <c r="L67" s="446">
        <v>60</v>
      </c>
      <c r="M67" s="447">
        <v>559</v>
      </c>
      <c r="N67" s="446">
        <v>140</v>
      </c>
      <c r="O67" s="449">
        <v>537</v>
      </c>
      <c r="P67" s="445">
        <v>31331</v>
      </c>
      <c r="Q67" s="446">
        <v>51</v>
      </c>
      <c r="R67" s="447">
        <v>559</v>
      </c>
      <c r="S67" s="446">
        <v>130</v>
      </c>
      <c r="T67" s="449">
        <v>559</v>
      </c>
      <c r="U67" s="448">
        <v>31410</v>
      </c>
      <c r="V67" s="446">
        <v>47</v>
      </c>
      <c r="W67" s="447">
        <v>182</v>
      </c>
      <c r="X67" s="446">
        <v>114</v>
      </c>
      <c r="Y67" s="447">
        <v>182</v>
      </c>
      <c r="Z67" s="445">
        <v>31477</v>
      </c>
      <c r="AA67" s="446">
        <v>45</v>
      </c>
      <c r="AB67" s="447">
        <v>343</v>
      </c>
      <c r="AC67" s="446">
        <v>109</v>
      </c>
      <c r="AD67" s="447">
        <v>343</v>
      </c>
      <c r="AE67" s="445">
        <v>31541</v>
      </c>
    </row>
    <row r="68" spans="2:31" ht="12.75">
      <c r="B68" s="444"/>
      <c r="C68" s="433"/>
      <c r="D68" s="438"/>
      <c r="E68" s="433" t="s">
        <v>229</v>
      </c>
      <c r="F68" s="445">
        <v>7770</v>
      </c>
      <c r="G68" s="446">
        <v>0</v>
      </c>
      <c r="H68" s="447">
        <v>46</v>
      </c>
      <c r="I68" s="446">
        <v>95</v>
      </c>
      <c r="J68" s="449">
        <v>69</v>
      </c>
      <c r="K68" s="445">
        <v>7888</v>
      </c>
      <c r="L68" s="446">
        <v>16</v>
      </c>
      <c r="M68" s="447">
        <v>87</v>
      </c>
      <c r="N68" s="446">
        <v>104</v>
      </c>
      <c r="O68" s="449">
        <v>72</v>
      </c>
      <c r="P68" s="445">
        <v>7961</v>
      </c>
      <c r="Q68" s="446">
        <v>21</v>
      </c>
      <c r="R68" s="447">
        <v>87</v>
      </c>
      <c r="S68" s="446">
        <v>114</v>
      </c>
      <c r="T68" s="449">
        <v>87</v>
      </c>
      <c r="U68" s="448">
        <v>8054</v>
      </c>
      <c r="V68" s="446">
        <v>16</v>
      </c>
      <c r="W68" s="447">
        <v>22</v>
      </c>
      <c r="X68" s="446">
        <v>92</v>
      </c>
      <c r="Y68" s="447">
        <v>22</v>
      </c>
      <c r="Z68" s="445">
        <v>8130</v>
      </c>
      <c r="AA68" s="446">
        <v>15</v>
      </c>
      <c r="AB68" s="447">
        <v>42</v>
      </c>
      <c r="AC68" s="446">
        <v>88</v>
      </c>
      <c r="AD68" s="447">
        <v>42</v>
      </c>
      <c r="AE68" s="445">
        <v>8203</v>
      </c>
    </row>
    <row r="69" spans="2:31" ht="12.75">
      <c r="B69" s="444"/>
      <c r="C69" s="433"/>
      <c r="D69" s="438"/>
      <c r="E69" s="433" t="s">
        <v>230</v>
      </c>
      <c r="F69" s="445">
        <v>0</v>
      </c>
      <c r="G69" s="446">
        <v>0</v>
      </c>
      <c r="H69" s="447">
        <v>0</v>
      </c>
      <c r="I69" s="446">
        <v>0</v>
      </c>
      <c r="J69" s="449">
        <v>0</v>
      </c>
      <c r="K69" s="445">
        <v>0</v>
      </c>
      <c r="L69" s="446">
        <v>0</v>
      </c>
      <c r="M69" s="447">
        <v>0</v>
      </c>
      <c r="N69" s="446">
        <v>0</v>
      </c>
      <c r="O69" s="449">
        <v>0</v>
      </c>
      <c r="P69" s="445">
        <v>0</v>
      </c>
      <c r="Q69" s="446">
        <v>0</v>
      </c>
      <c r="R69" s="447">
        <v>0</v>
      </c>
      <c r="S69" s="446">
        <v>0</v>
      </c>
      <c r="T69" s="449">
        <v>0</v>
      </c>
      <c r="U69" s="448">
        <v>0</v>
      </c>
      <c r="V69" s="446">
        <v>0</v>
      </c>
      <c r="W69" s="447">
        <v>0</v>
      </c>
      <c r="X69" s="446">
        <v>0</v>
      </c>
      <c r="Y69" s="447">
        <v>0</v>
      </c>
      <c r="Z69" s="445">
        <v>0</v>
      </c>
      <c r="AA69" s="446">
        <v>0</v>
      </c>
      <c r="AB69" s="447">
        <v>0</v>
      </c>
      <c r="AC69" s="446">
        <v>0</v>
      </c>
      <c r="AD69" s="447">
        <v>0</v>
      </c>
      <c r="AE69" s="445">
        <v>0</v>
      </c>
    </row>
    <row r="70" spans="2:31" ht="12.75">
      <c r="B70" s="444"/>
      <c r="C70" s="433"/>
      <c r="D70" s="438"/>
      <c r="E70" s="433" t="s">
        <v>231</v>
      </c>
      <c r="F70" s="445">
        <v>0</v>
      </c>
      <c r="G70" s="446">
        <v>0</v>
      </c>
      <c r="H70" s="447">
        <v>0</v>
      </c>
      <c r="I70" s="446">
        <v>0</v>
      </c>
      <c r="J70" s="449">
        <v>0</v>
      </c>
      <c r="K70" s="445">
        <v>0</v>
      </c>
      <c r="L70" s="446">
        <v>0</v>
      </c>
      <c r="M70" s="447">
        <v>0</v>
      </c>
      <c r="N70" s="446">
        <v>0</v>
      </c>
      <c r="O70" s="449">
        <v>0</v>
      </c>
      <c r="P70" s="445">
        <v>0</v>
      </c>
      <c r="Q70" s="446">
        <v>0</v>
      </c>
      <c r="R70" s="447">
        <v>0</v>
      </c>
      <c r="S70" s="446">
        <v>0</v>
      </c>
      <c r="T70" s="449">
        <v>0</v>
      </c>
      <c r="U70" s="448">
        <v>0</v>
      </c>
      <c r="V70" s="446">
        <v>0</v>
      </c>
      <c r="W70" s="447">
        <v>0</v>
      </c>
      <c r="X70" s="446">
        <v>0</v>
      </c>
      <c r="Y70" s="447">
        <v>0</v>
      </c>
      <c r="Z70" s="445">
        <v>0</v>
      </c>
      <c r="AA70" s="446">
        <v>0</v>
      </c>
      <c r="AB70" s="447">
        <v>0</v>
      </c>
      <c r="AC70" s="446">
        <v>0</v>
      </c>
      <c r="AD70" s="447">
        <v>0</v>
      </c>
      <c r="AE70" s="445">
        <v>0</v>
      </c>
    </row>
    <row r="71" spans="2:31" ht="13.5" thickBot="1">
      <c r="B71" s="421"/>
      <c r="C71" s="422"/>
      <c r="D71" s="422"/>
      <c r="E71" s="422"/>
      <c r="F71" s="455"/>
      <c r="G71" s="456"/>
      <c r="H71" s="457"/>
      <c r="I71" s="456"/>
      <c r="J71" s="458"/>
      <c r="K71" s="459"/>
      <c r="L71" s="456"/>
      <c r="M71" s="457"/>
      <c r="N71" s="456"/>
      <c r="O71" s="458"/>
      <c r="P71" s="459"/>
      <c r="Q71" s="456"/>
      <c r="R71" s="457"/>
      <c r="S71" s="456"/>
      <c r="T71" s="458"/>
      <c r="U71" s="460"/>
      <c r="V71" s="456"/>
      <c r="W71" s="457"/>
      <c r="X71" s="456"/>
      <c r="Y71" s="457"/>
      <c r="Z71" s="459"/>
      <c r="AA71" s="456"/>
      <c r="AB71" s="457"/>
      <c r="AC71" s="456"/>
      <c r="AD71" s="457"/>
      <c r="AE71" s="459"/>
    </row>
    <row r="72" spans="2:31" ht="12.75">
      <c r="B72" s="461"/>
      <c r="C72" s="462" t="s">
        <v>245</v>
      </c>
      <c r="D72" s="462"/>
      <c r="E72" s="463"/>
      <c r="F72" s="464"/>
      <c r="G72" s="465"/>
      <c r="H72" s="466"/>
      <c r="I72" s="465"/>
      <c r="J72" s="467"/>
      <c r="K72" s="464"/>
      <c r="L72" s="465"/>
      <c r="M72" s="466"/>
      <c r="N72" s="465"/>
      <c r="O72" s="467"/>
      <c r="P72" s="464"/>
      <c r="Q72" s="465"/>
      <c r="R72" s="466"/>
      <c r="S72" s="465"/>
      <c r="T72" s="467"/>
      <c r="U72" s="468"/>
      <c r="V72" s="465"/>
      <c r="W72" s="466"/>
      <c r="X72" s="465"/>
      <c r="Y72" s="466"/>
      <c r="Z72" s="464"/>
      <c r="AA72" s="465"/>
      <c r="AB72" s="466"/>
      <c r="AC72" s="465"/>
      <c r="AD72" s="466"/>
      <c r="AE72" s="464"/>
    </row>
    <row r="73" spans="2:31" ht="12.75">
      <c r="B73" s="444"/>
      <c r="C73" s="433"/>
      <c r="D73" s="438" t="s">
        <v>264</v>
      </c>
      <c r="E73" s="433"/>
      <c r="F73" s="450"/>
      <c r="G73" s="451"/>
      <c r="H73" s="452"/>
      <c r="I73" s="451"/>
      <c r="J73" s="453"/>
      <c r="K73" s="450"/>
      <c r="L73" s="451"/>
      <c r="M73" s="452"/>
      <c r="N73" s="451"/>
      <c r="O73" s="453"/>
      <c r="P73" s="450"/>
      <c r="Q73" s="451"/>
      <c r="R73" s="452"/>
      <c r="S73" s="451"/>
      <c r="T73" s="453"/>
      <c r="U73" s="454"/>
      <c r="V73" s="451"/>
      <c r="W73" s="452"/>
      <c r="X73" s="451"/>
      <c r="Y73" s="452"/>
      <c r="Z73" s="450"/>
      <c r="AA73" s="451"/>
      <c r="AB73" s="452"/>
      <c r="AC73" s="451"/>
      <c r="AD73" s="452"/>
      <c r="AE73" s="450"/>
    </row>
    <row r="74" spans="2:31" ht="12.75">
      <c r="B74" s="444"/>
      <c r="C74" s="433"/>
      <c r="D74" s="433"/>
      <c r="E74" s="433" t="s">
        <v>246</v>
      </c>
      <c r="F74" s="445">
        <v>1196</v>
      </c>
      <c r="G74" s="446">
        <v>0</v>
      </c>
      <c r="H74" s="447">
        <v>5</v>
      </c>
      <c r="I74" s="446">
        <v>0</v>
      </c>
      <c r="J74" s="449">
        <v>5</v>
      </c>
      <c r="K74" s="445">
        <v>1196</v>
      </c>
      <c r="L74" s="446">
        <v>0</v>
      </c>
      <c r="M74" s="447">
        <v>20</v>
      </c>
      <c r="N74" s="446">
        <v>0</v>
      </c>
      <c r="O74" s="449">
        <v>14</v>
      </c>
      <c r="P74" s="445">
        <v>1190</v>
      </c>
      <c r="Q74" s="446">
        <v>0</v>
      </c>
      <c r="R74" s="447">
        <v>25</v>
      </c>
      <c r="S74" s="446">
        <v>0</v>
      </c>
      <c r="T74" s="449">
        <v>21</v>
      </c>
      <c r="U74" s="448">
        <v>1186</v>
      </c>
      <c r="V74" s="446">
        <v>0</v>
      </c>
      <c r="W74" s="447">
        <v>0</v>
      </c>
      <c r="X74" s="446">
        <v>0</v>
      </c>
      <c r="Y74" s="447">
        <v>0</v>
      </c>
      <c r="Z74" s="445">
        <v>1186</v>
      </c>
      <c r="AA74" s="446">
        <v>0</v>
      </c>
      <c r="AB74" s="447">
        <v>0</v>
      </c>
      <c r="AC74" s="446">
        <v>0</v>
      </c>
      <c r="AD74" s="447">
        <v>0</v>
      </c>
      <c r="AE74" s="445">
        <v>1186</v>
      </c>
    </row>
    <row r="75" spans="2:31" ht="12.75">
      <c r="B75" s="444"/>
      <c r="C75" s="433"/>
      <c r="D75" s="438"/>
      <c r="E75" s="433" t="s">
        <v>247</v>
      </c>
      <c r="F75" s="445">
        <v>41</v>
      </c>
      <c r="G75" s="446">
        <v>0</v>
      </c>
      <c r="H75" s="447">
        <v>0</v>
      </c>
      <c r="I75" s="446">
        <v>0</v>
      </c>
      <c r="J75" s="449">
        <v>0</v>
      </c>
      <c r="K75" s="445">
        <v>41</v>
      </c>
      <c r="L75" s="446">
        <v>0</v>
      </c>
      <c r="M75" s="447">
        <v>0</v>
      </c>
      <c r="N75" s="446">
        <v>0</v>
      </c>
      <c r="O75" s="449">
        <v>0</v>
      </c>
      <c r="P75" s="445">
        <v>41</v>
      </c>
      <c r="Q75" s="446">
        <v>0</v>
      </c>
      <c r="R75" s="447">
        <v>0</v>
      </c>
      <c r="S75" s="446">
        <v>0</v>
      </c>
      <c r="T75" s="449">
        <v>0</v>
      </c>
      <c r="U75" s="448">
        <v>41</v>
      </c>
      <c r="V75" s="446">
        <v>0</v>
      </c>
      <c r="W75" s="447">
        <v>0</v>
      </c>
      <c r="X75" s="446">
        <v>0</v>
      </c>
      <c r="Y75" s="447">
        <v>0</v>
      </c>
      <c r="Z75" s="445">
        <v>41</v>
      </c>
      <c r="AA75" s="446">
        <v>0</v>
      </c>
      <c r="AB75" s="447">
        <v>0</v>
      </c>
      <c r="AC75" s="446">
        <v>0</v>
      </c>
      <c r="AD75" s="447">
        <v>0</v>
      </c>
      <c r="AE75" s="445">
        <v>41</v>
      </c>
    </row>
    <row r="76" spans="2:31" ht="12.75">
      <c r="B76" s="444"/>
      <c r="C76" s="433"/>
      <c r="D76" s="438"/>
      <c r="E76" s="433" t="s">
        <v>248</v>
      </c>
      <c r="F76" s="445">
        <v>329</v>
      </c>
      <c r="G76" s="446">
        <v>0</v>
      </c>
      <c r="H76" s="447">
        <v>0</v>
      </c>
      <c r="I76" s="446">
        <v>0</v>
      </c>
      <c r="J76" s="449">
        <v>0</v>
      </c>
      <c r="K76" s="445">
        <v>329</v>
      </c>
      <c r="L76" s="446">
        <v>0</v>
      </c>
      <c r="M76" s="447">
        <v>0</v>
      </c>
      <c r="N76" s="446">
        <v>0</v>
      </c>
      <c r="O76" s="449">
        <v>0</v>
      </c>
      <c r="P76" s="445">
        <v>329</v>
      </c>
      <c r="Q76" s="446">
        <v>0</v>
      </c>
      <c r="R76" s="447">
        <v>0</v>
      </c>
      <c r="S76" s="446">
        <v>0</v>
      </c>
      <c r="T76" s="449">
        <v>0</v>
      </c>
      <c r="U76" s="448">
        <v>329</v>
      </c>
      <c r="V76" s="446">
        <v>0</v>
      </c>
      <c r="W76" s="447">
        <v>0</v>
      </c>
      <c r="X76" s="446">
        <v>0</v>
      </c>
      <c r="Y76" s="447">
        <v>0</v>
      </c>
      <c r="Z76" s="445">
        <v>329</v>
      </c>
      <c r="AA76" s="446">
        <v>0</v>
      </c>
      <c r="AB76" s="447">
        <v>0</v>
      </c>
      <c r="AC76" s="446">
        <v>0</v>
      </c>
      <c r="AD76" s="447">
        <v>0</v>
      </c>
      <c r="AE76" s="445">
        <v>329</v>
      </c>
    </row>
    <row r="77" spans="2:31" ht="12.75">
      <c r="B77" s="444"/>
      <c r="C77" s="433"/>
      <c r="D77" s="438"/>
      <c r="E77" s="433" t="s">
        <v>249</v>
      </c>
      <c r="F77" s="445">
        <v>28</v>
      </c>
      <c r="G77" s="446">
        <v>0</v>
      </c>
      <c r="H77" s="447">
        <v>0</v>
      </c>
      <c r="I77" s="446">
        <v>0</v>
      </c>
      <c r="J77" s="449">
        <v>0</v>
      </c>
      <c r="K77" s="445">
        <v>28</v>
      </c>
      <c r="L77" s="446">
        <v>0</v>
      </c>
      <c r="M77" s="447">
        <v>0</v>
      </c>
      <c r="N77" s="446">
        <v>0</v>
      </c>
      <c r="O77" s="449">
        <v>0</v>
      </c>
      <c r="P77" s="445">
        <v>28</v>
      </c>
      <c r="Q77" s="446">
        <v>0</v>
      </c>
      <c r="R77" s="447">
        <v>0</v>
      </c>
      <c r="S77" s="446">
        <v>0</v>
      </c>
      <c r="T77" s="449">
        <v>0</v>
      </c>
      <c r="U77" s="448">
        <v>28</v>
      </c>
      <c r="V77" s="446">
        <v>0</v>
      </c>
      <c r="W77" s="447">
        <v>0</v>
      </c>
      <c r="X77" s="446">
        <v>0</v>
      </c>
      <c r="Y77" s="447">
        <v>0</v>
      </c>
      <c r="Z77" s="445">
        <v>28</v>
      </c>
      <c r="AA77" s="446">
        <v>0</v>
      </c>
      <c r="AB77" s="447">
        <v>0</v>
      </c>
      <c r="AC77" s="446">
        <v>0</v>
      </c>
      <c r="AD77" s="447">
        <v>0</v>
      </c>
      <c r="AE77" s="445">
        <v>28</v>
      </c>
    </row>
    <row r="78" spans="2:31" ht="12.75">
      <c r="B78" s="444"/>
      <c r="C78" s="433"/>
      <c r="D78" s="438"/>
      <c r="E78" s="433"/>
      <c r="F78" s="450"/>
      <c r="G78" s="451"/>
      <c r="H78" s="452"/>
      <c r="I78" s="451"/>
      <c r="J78" s="453"/>
      <c r="K78" s="450"/>
      <c r="L78" s="451"/>
      <c r="M78" s="452"/>
      <c r="N78" s="451"/>
      <c r="O78" s="453"/>
      <c r="P78" s="450"/>
      <c r="Q78" s="451"/>
      <c r="R78" s="452"/>
      <c r="S78" s="451"/>
      <c r="T78" s="453"/>
      <c r="U78" s="454"/>
      <c r="V78" s="451"/>
      <c r="W78" s="452"/>
      <c r="X78" s="451"/>
      <c r="Y78" s="452"/>
      <c r="Z78" s="450"/>
      <c r="AA78" s="451"/>
      <c r="AB78" s="452"/>
      <c r="AC78" s="451"/>
      <c r="AD78" s="452"/>
      <c r="AE78" s="450"/>
    </row>
    <row r="79" spans="2:31" ht="12.75">
      <c r="B79" s="444"/>
      <c r="C79" s="433"/>
      <c r="D79" s="438" t="s">
        <v>430</v>
      </c>
      <c r="E79" s="433"/>
      <c r="F79" s="450"/>
      <c r="G79" s="451"/>
      <c r="H79" s="452"/>
      <c r="I79" s="451"/>
      <c r="J79" s="453"/>
      <c r="K79" s="450"/>
      <c r="L79" s="451"/>
      <c r="M79" s="452"/>
      <c r="N79" s="451"/>
      <c r="O79" s="453"/>
      <c r="P79" s="450"/>
      <c r="Q79" s="451"/>
      <c r="R79" s="452"/>
      <c r="S79" s="451"/>
      <c r="T79" s="453"/>
      <c r="U79" s="454"/>
      <c r="V79" s="451"/>
      <c r="W79" s="452"/>
      <c r="X79" s="451"/>
      <c r="Y79" s="452"/>
      <c r="Z79" s="450"/>
      <c r="AA79" s="451"/>
      <c r="AB79" s="452"/>
      <c r="AC79" s="451"/>
      <c r="AD79" s="452"/>
      <c r="AE79" s="450"/>
    </row>
    <row r="80" spans="2:31" ht="12.75">
      <c r="B80" s="444"/>
      <c r="C80" s="433"/>
      <c r="D80" s="433"/>
      <c r="E80" s="433" t="s">
        <v>250</v>
      </c>
      <c r="F80" s="445">
        <v>15348</v>
      </c>
      <c r="G80" s="446">
        <v>0</v>
      </c>
      <c r="H80" s="447">
        <v>138</v>
      </c>
      <c r="I80" s="446">
        <v>0</v>
      </c>
      <c r="J80" s="449">
        <v>138</v>
      </c>
      <c r="K80" s="445">
        <v>15348</v>
      </c>
      <c r="L80" s="446">
        <v>0</v>
      </c>
      <c r="M80" s="447">
        <v>285</v>
      </c>
      <c r="N80" s="446">
        <v>0</v>
      </c>
      <c r="O80" s="449">
        <v>261</v>
      </c>
      <c r="P80" s="445">
        <v>15324</v>
      </c>
      <c r="Q80" s="446">
        <v>0</v>
      </c>
      <c r="R80" s="447">
        <v>366</v>
      </c>
      <c r="S80" s="446">
        <v>0</v>
      </c>
      <c r="T80" s="449">
        <v>366</v>
      </c>
      <c r="U80" s="448">
        <v>15324</v>
      </c>
      <c r="V80" s="446">
        <v>0</v>
      </c>
      <c r="W80" s="447">
        <v>350</v>
      </c>
      <c r="X80" s="446">
        <v>0</v>
      </c>
      <c r="Y80" s="447">
        <v>350</v>
      </c>
      <c r="Z80" s="445">
        <v>15324</v>
      </c>
      <c r="AA80" s="446">
        <v>0</v>
      </c>
      <c r="AB80" s="447">
        <v>350</v>
      </c>
      <c r="AC80" s="446">
        <v>0</v>
      </c>
      <c r="AD80" s="447">
        <v>350</v>
      </c>
      <c r="AE80" s="445">
        <v>15324</v>
      </c>
    </row>
    <row r="81" spans="2:31" ht="12.75">
      <c r="B81" s="444"/>
      <c r="C81" s="433"/>
      <c r="D81" s="433"/>
      <c r="E81" s="433" t="s">
        <v>251</v>
      </c>
      <c r="F81" s="445">
        <v>190</v>
      </c>
      <c r="G81" s="446">
        <v>0</v>
      </c>
      <c r="H81" s="447">
        <v>0</v>
      </c>
      <c r="I81" s="446">
        <v>0</v>
      </c>
      <c r="J81" s="449">
        <v>0</v>
      </c>
      <c r="K81" s="445">
        <v>190</v>
      </c>
      <c r="L81" s="446">
        <v>0</v>
      </c>
      <c r="M81" s="447">
        <v>0</v>
      </c>
      <c r="N81" s="446">
        <v>0</v>
      </c>
      <c r="O81" s="449">
        <v>0</v>
      </c>
      <c r="P81" s="445">
        <v>190</v>
      </c>
      <c r="Q81" s="446">
        <v>0</v>
      </c>
      <c r="R81" s="447">
        <v>0</v>
      </c>
      <c r="S81" s="446">
        <v>0</v>
      </c>
      <c r="T81" s="449">
        <v>0</v>
      </c>
      <c r="U81" s="448">
        <v>190</v>
      </c>
      <c r="V81" s="446">
        <v>0</v>
      </c>
      <c r="W81" s="447">
        <v>0</v>
      </c>
      <c r="X81" s="446">
        <v>0</v>
      </c>
      <c r="Y81" s="447">
        <v>0</v>
      </c>
      <c r="Z81" s="445">
        <v>190</v>
      </c>
      <c r="AA81" s="446">
        <v>0</v>
      </c>
      <c r="AB81" s="447">
        <v>0</v>
      </c>
      <c r="AC81" s="446">
        <v>0</v>
      </c>
      <c r="AD81" s="447">
        <v>0</v>
      </c>
      <c r="AE81" s="445">
        <v>190</v>
      </c>
    </row>
    <row r="82" spans="2:31" ht="12.75">
      <c r="B82" s="444"/>
      <c r="C82" s="433"/>
      <c r="D82" s="438"/>
      <c r="E82" s="433" t="s">
        <v>252</v>
      </c>
      <c r="F82" s="445">
        <v>4318</v>
      </c>
      <c r="G82" s="446">
        <v>0</v>
      </c>
      <c r="H82" s="447">
        <v>0</v>
      </c>
      <c r="I82" s="446">
        <v>0</v>
      </c>
      <c r="J82" s="449">
        <v>0</v>
      </c>
      <c r="K82" s="445">
        <v>4318</v>
      </c>
      <c r="L82" s="446">
        <v>0</v>
      </c>
      <c r="M82" s="447">
        <v>0</v>
      </c>
      <c r="N82" s="446">
        <v>0</v>
      </c>
      <c r="O82" s="449">
        <v>0</v>
      </c>
      <c r="P82" s="445">
        <v>4318</v>
      </c>
      <c r="Q82" s="446">
        <v>0</v>
      </c>
      <c r="R82" s="447">
        <v>0</v>
      </c>
      <c r="S82" s="446">
        <v>0</v>
      </c>
      <c r="T82" s="449">
        <v>0</v>
      </c>
      <c r="U82" s="448">
        <v>4318</v>
      </c>
      <c r="V82" s="446">
        <v>0</v>
      </c>
      <c r="W82" s="447">
        <v>0</v>
      </c>
      <c r="X82" s="446">
        <v>0</v>
      </c>
      <c r="Y82" s="447">
        <v>0</v>
      </c>
      <c r="Z82" s="445">
        <v>4318</v>
      </c>
      <c r="AA82" s="446">
        <v>0</v>
      </c>
      <c r="AB82" s="447">
        <v>0</v>
      </c>
      <c r="AC82" s="446">
        <v>0</v>
      </c>
      <c r="AD82" s="447">
        <v>0</v>
      </c>
      <c r="AE82" s="445">
        <v>4318</v>
      </c>
    </row>
    <row r="83" spans="2:31" ht="12.75">
      <c r="B83" s="444"/>
      <c r="C83" s="433"/>
      <c r="D83" s="438"/>
      <c r="E83" s="433" t="s">
        <v>253</v>
      </c>
      <c r="F83" s="445">
        <v>251</v>
      </c>
      <c r="G83" s="446">
        <v>0</v>
      </c>
      <c r="H83" s="447">
        <v>0</v>
      </c>
      <c r="I83" s="446">
        <v>0</v>
      </c>
      <c r="J83" s="449">
        <v>0</v>
      </c>
      <c r="K83" s="445">
        <v>251</v>
      </c>
      <c r="L83" s="446">
        <v>0</v>
      </c>
      <c r="M83" s="447">
        <v>0</v>
      </c>
      <c r="N83" s="446">
        <v>0</v>
      </c>
      <c r="O83" s="449">
        <v>0</v>
      </c>
      <c r="P83" s="445">
        <v>251</v>
      </c>
      <c r="Q83" s="446">
        <v>0</v>
      </c>
      <c r="R83" s="447">
        <v>0</v>
      </c>
      <c r="S83" s="446">
        <v>0</v>
      </c>
      <c r="T83" s="449">
        <v>0</v>
      </c>
      <c r="U83" s="448">
        <v>251</v>
      </c>
      <c r="V83" s="446">
        <v>0</v>
      </c>
      <c r="W83" s="447">
        <v>0</v>
      </c>
      <c r="X83" s="446">
        <v>0</v>
      </c>
      <c r="Y83" s="447">
        <v>0</v>
      </c>
      <c r="Z83" s="445">
        <v>251</v>
      </c>
      <c r="AA83" s="446">
        <v>0</v>
      </c>
      <c r="AB83" s="447">
        <v>0</v>
      </c>
      <c r="AC83" s="446">
        <v>0</v>
      </c>
      <c r="AD83" s="447">
        <v>0</v>
      </c>
      <c r="AE83" s="445">
        <v>251</v>
      </c>
    </row>
    <row r="84" spans="2:31" ht="12.75">
      <c r="B84" s="444"/>
      <c r="C84" s="433"/>
      <c r="D84" s="433"/>
      <c r="E84" s="433"/>
      <c r="F84" s="450"/>
      <c r="G84" s="451"/>
      <c r="H84" s="452"/>
      <c r="I84" s="451"/>
      <c r="J84" s="453"/>
      <c r="K84" s="450"/>
      <c r="L84" s="451"/>
      <c r="M84" s="452"/>
      <c r="N84" s="451"/>
      <c r="O84" s="453"/>
      <c r="P84" s="450"/>
      <c r="Q84" s="451"/>
      <c r="R84" s="452"/>
      <c r="S84" s="451"/>
      <c r="T84" s="453"/>
      <c r="U84" s="454"/>
      <c r="V84" s="451"/>
      <c r="W84" s="452"/>
      <c r="X84" s="451"/>
      <c r="Y84" s="452"/>
      <c r="Z84" s="450"/>
      <c r="AA84" s="451"/>
      <c r="AB84" s="452"/>
      <c r="AC84" s="451"/>
      <c r="AD84" s="452"/>
      <c r="AE84" s="450"/>
    </row>
    <row r="85" spans="2:31" ht="12.75">
      <c r="B85" s="431"/>
      <c r="C85" s="433"/>
      <c r="D85" s="438" t="s">
        <v>455</v>
      </c>
      <c r="E85" s="433"/>
      <c r="F85" s="450"/>
      <c r="G85" s="451"/>
      <c r="H85" s="452"/>
      <c r="I85" s="451"/>
      <c r="J85" s="453"/>
      <c r="K85" s="450"/>
      <c r="L85" s="451"/>
      <c r="M85" s="452"/>
      <c r="N85" s="451"/>
      <c r="O85" s="453"/>
      <c r="P85" s="450"/>
      <c r="Q85" s="451"/>
      <c r="R85" s="452"/>
      <c r="S85" s="451"/>
      <c r="T85" s="453"/>
      <c r="U85" s="454"/>
      <c r="V85" s="451"/>
      <c r="W85" s="452"/>
      <c r="X85" s="451"/>
      <c r="Y85" s="452"/>
      <c r="Z85" s="450"/>
      <c r="AA85" s="451"/>
      <c r="AB85" s="452"/>
      <c r="AC85" s="451"/>
      <c r="AD85" s="452"/>
      <c r="AE85" s="450"/>
    </row>
    <row r="86" spans="2:31" ht="12.75">
      <c r="B86" s="431"/>
      <c r="C86" s="433"/>
      <c r="D86" s="438"/>
      <c r="E86" s="433" t="s">
        <v>117</v>
      </c>
      <c r="F86" s="445">
        <v>364.14</v>
      </c>
      <c r="G86" s="446">
        <v>0</v>
      </c>
      <c r="H86" s="447">
        <v>0</v>
      </c>
      <c r="I86" s="446">
        <v>1</v>
      </c>
      <c r="J86" s="449">
        <v>0</v>
      </c>
      <c r="K86" s="445">
        <v>365.14</v>
      </c>
      <c r="L86" s="446">
        <v>0</v>
      </c>
      <c r="M86" s="447">
        <v>0</v>
      </c>
      <c r="N86" s="446">
        <v>12.9</v>
      </c>
      <c r="O86" s="449">
        <v>0</v>
      </c>
      <c r="P86" s="445">
        <v>378.04</v>
      </c>
      <c r="Q86" s="446">
        <v>0</v>
      </c>
      <c r="R86" s="447">
        <v>0</v>
      </c>
      <c r="S86" s="446">
        <v>0.4</v>
      </c>
      <c r="T86" s="449">
        <v>0.4</v>
      </c>
      <c r="U86" s="448">
        <v>378.84</v>
      </c>
      <c r="V86" s="446">
        <v>0</v>
      </c>
      <c r="W86" s="447">
        <v>0</v>
      </c>
      <c r="X86" s="446">
        <v>2</v>
      </c>
      <c r="Y86" s="447">
        <v>0</v>
      </c>
      <c r="Z86" s="445">
        <v>380.84</v>
      </c>
      <c r="AA86" s="446">
        <v>0</v>
      </c>
      <c r="AB86" s="447">
        <v>0</v>
      </c>
      <c r="AC86" s="446">
        <v>6</v>
      </c>
      <c r="AD86" s="447">
        <v>0</v>
      </c>
      <c r="AE86" s="445">
        <v>386.84</v>
      </c>
    </row>
    <row r="87" spans="2:31" ht="12.75">
      <c r="B87" s="431"/>
      <c r="C87" s="433"/>
      <c r="D87" s="438"/>
      <c r="E87" s="433" t="s">
        <v>118</v>
      </c>
      <c r="F87" s="445">
        <v>0</v>
      </c>
      <c r="G87" s="446">
        <v>0</v>
      </c>
      <c r="H87" s="447">
        <v>0</v>
      </c>
      <c r="I87" s="446">
        <v>0</v>
      </c>
      <c r="J87" s="449">
        <v>0</v>
      </c>
      <c r="K87" s="445">
        <v>0</v>
      </c>
      <c r="L87" s="446">
        <v>0</v>
      </c>
      <c r="M87" s="447">
        <v>0</v>
      </c>
      <c r="N87" s="446">
        <v>0</v>
      </c>
      <c r="O87" s="449">
        <v>0</v>
      </c>
      <c r="P87" s="445">
        <v>0</v>
      </c>
      <c r="Q87" s="446">
        <v>0</v>
      </c>
      <c r="R87" s="447">
        <v>0</v>
      </c>
      <c r="S87" s="446">
        <v>0</v>
      </c>
      <c r="T87" s="449">
        <v>0</v>
      </c>
      <c r="U87" s="448">
        <v>0</v>
      </c>
      <c r="V87" s="446">
        <v>0</v>
      </c>
      <c r="W87" s="447">
        <v>0</v>
      </c>
      <c r="X87" s="446">
        <v>0</v>
      </c>
      <c r="Y87" s="447">
        <v>0</v>
      </c>
      <c r="Z87" s="445">
        <v>0</v>
      </c>
      <c r="AA87" s="446">
        <v>0</v>
      </c>
      <c r="AB87" s="447">
        <v>0</v>
      </c>
      <c r="AC87" s="446">
        <v>0</v>
      </c>
      <c r="AD87" s="447">
        <v>0</v>
      </c>
      <c r="AE87" s="445">
        <v>0</v>
      </c>
    </row>
    <row r="88" spans="2:31" ht="12.75">
      <c r="B88" s="431"/>
      <c r="C88" s="433"/>
      <c r="D88" s="438"/>
      <c r="E88" s="433" t="s">
        <v>119</v>
      </c>
      <c r="F88" s="445">
        <v>8.124</v>
      </c>
      <c r="G88" s="446">
        <v>0</v>
      </c>
      <c r="H88" s="447">
        <v>0</v>
      </c>
      <c r="I88" s="446">
        <v>0</v>
      </c>
      <c r="J88" s="449">
        <v>0</v>
      </c>
      <c r="K88" s="445">
        <v>8.124</v>
      </c>
      <c r="L88" s="446">
        <v>0</v>
      </c>
      <c r="M88" s="447">
        <v>0</v>
      </c>
      <c r="N88" s="446">
        <v>0</v>
      </c>
      <c r="O88" s="449">
        <v>0</v>
      </c>
      <c r="P88" s="445">
        <v>8.124</v>
      </c>
      <c r="Q88" s="446">
        <v>0</v>
      </c>
      <c r="R88" s="447">
        <v>0</v>
      </c>
      <c r="S88" s="446">
        <v>0</v>
      </c>
      <c r="T88" s="449">
        <v>0</v>
      </c>
      <c r="U88" s="448">
        <v>8.124</v>
      </c>
      <c r="V88" s="446">
        <v>0</v>
      </c>
      <c r="W88" s="447">
        <v>0</v>
      </c>
      <c r="X88" s="446">
        <v>0</v>
      </c>
      <c r="Y88" s="447">
        <v>0</v>
      </c>
      <c r="Z88" s="445">
        <v>8.124</v>
      </c>
      <c r="AA88" s="446">
        <v>0</v>
      </c>
      <c r="AB88" s="447">
        <v>0</v>
      </c>
      <c r="AC88" s="446">
        <v>0</v>
      </c>
      <c r="AD88" s="447">
        <v>0</v>
      </c>
      <c r="AE88" s="445">
        <v>8.124</v>
      </c>
    </row>
    <row r="89" spans="2:31" ht="12.75">
      <c r="B89" s="431"/>
      <c r="C89" s="433"/>
      <c r="D89" s="438"/>
      <c r="E89" s="433" t="s">
        <v>258</v>
      </c>
      <c r="F89" s="445">
        <v>6</v>
      </c>
      <c r="G89" s="446">
        <v>0</v>
      </c>
      <c r="H89" s="447">
        <v>0</v>
      </c>
      <c r="I89" s="446">
        <v>0</v>
      </c>
      <c r="J89" s="449">
        <v>0</v>
      </c>
      <c r="K89" s="445">
        <v>6</v>
      </c>
      <c r="L89" s="446">
        <v>0</v>
      </c>
      <c r="M89" s="447">
        <v>0</v>
      </c>
      <c r="N89" s="446">
        <v>0</v>
      </c>
      <c r="O89" s="449">
        <v>0</v>
      </c>
      <c r="P89" s="445">
        <v>6</v>
      </c>
      <c r="Q89" s="446">
        <v>0</v>
      </c>
      <c r="R89" s="447">
        <v>0</v>
      </c>
      <c r="S89" s="446">
        <v>0</v>
      </c>
      <c r="T89" s="449">
        <v>0</v>
      </c>
      <c r="U89" s="448">
        <v>6</v>
      </c>
      <c r="V89" s="446">
        <v>0</v>
      </c>
      <c r="W89" s="447">
        <v>0</v>
      </c>
      <c r="X89" s="446">
        <v>0</v>
      </c>
      <c r="Y89" s="447">
        <v>0</v>
      </c>
      <c r="Z89" s="445">
        <v>6</v>
      </c>
      <c r="AA89" s="446">
        <v>0</v>
      </c>
      <c r="AB89" s="447">
        <v>0</v>
      </c>
      <c r="AC89" s="446">
        <v>0</v>
      </c>
      <c r="AD89" s="447">
        <v>0</v>
      </c>
      <c r="AE89" s="445">
        <v>6</v>
      </c>
    </row>
    <row r="90" spans="2:31" ht="12.75">
      <c r="B90" s="431"/>
      <c r="C90" s="433"/>
      <c r="D90" s="438"/>
      <c r="E90" s="433" t="s">
        <v>130</v>
      </c>
      <c r="F90" s="445">
        <v>2</v>
      </c>
      <c r="G90" s="446">
        <v>0</v>
      </c>
      <c r="H90" s="447">
        <v>0</v>
      </c>
      <c r="I90" s="446">
        <v>0</v>
      </c>
      <c r="J90" s="449">
        <v>0</v>
      </c>
      <c r="K90" s="445">
        <v>2</v>
      </c>
      <c r="L90" s="446">
        <v>0</v>
      </c>
      <c r="M90" s="447">
        <v>0</v>
      </c>
      <c r="N90" s="446">
        <v>0</v>
      </c>
      <c r="O90" s="449">
        <v>0</v>
      </c>
      <c r="P90" s="445">
        <v>2</v>
      </c>
      <c r="Q90" s="446">
        <v>0</v>
      </c>
      <c r="R90" s="447">
        <v>0</v>
      </c>
      <c r="S90" s="446">
        <v>0</v>
      </c>
      <c r="T90" s="449">
        <v>0</v>
      </c>
      <c r="U90" s="448">
        <v>2</v>
      </c>
      <c r="V90" s="446">
        <v>0</v>
      </c>
      <c r="W90" s="447">
        <v>0</v>
      </c>
      <c r="X90" s="446">
        <v>0</v>
      </c>
      <c r="Y90" s="447">
        <v>0</v>
      </c>
      <c r="Z90" s="445">
        <v>2</v>
      </c>
      <c r="AA90" s="446">
        <v>0</v>
      </c>
      <c r="AB90" s="447">
        <v>0</v>
      </c>
      <c r="AC90" s="446">
        <v>0</v>
      </c>
      <c r="AD90" s="447">
        <v>0</v>
      </c>
      <c r="AE90" s="445">
        <v>2</v>
      </c>
    </row>
    <row r="91" spans="2:31" ht="12.75">
      <c r="B91" s="431"/>
      <c r="C91" s="433"/>
      <c r="D91" s="438"/>
      <c r="E91" s="433" t="s">
        <v>131</v>
      </c>
      <c r="F91" s="445">
        <v>1</v>
      </c>
      <c r="G91" s="446">
        <v>0</v>
      </c>
      <c r="H91" s="447">
        <v>0</v>
      </c>
      <c r="I91" s="446">
        <v>0</v>
      </c>
      <c r="J91" s="449">
        <v>0</v>
      </c>
      <c r="K91" s="445">
        <v>1</v>
      </c>
      <c r="L91" s="446">
        <v>0</v>
      </c>
      <c r="M91" s="447">
        <v>0</v>
      </c>
      <c r="N91" s="446">
        <v>0</v>
      </c>
      <c r="O91" s="449">
        <v>0</v>
      </c>
      <c r="P91" s="445">
        <v>1</v>
      </c>
      <c r="Q91" s="446">
        <v>0</v>
      </c>
      <c r="R91" s="447">
        <v>0</v>
      </c>
      <c r="S91" s="446">
        <v>0</v>
      </c>
      <c r="T91" s="449">
        <v>0</v>
      </c>
      <c r="U91" s="448">
        <v>1</v>
      </c>
      <c r="V91" s="446">
        <v>0</v>
      </c>
      <c r="W91" s="447">
        <v>0</v>
      </c>
      <c r="X91" s="446">
        <v>0</v>
      </c>
      <c r="Y91" s="447">
        <v>0</v>
      </c>
      <c r="Z91" s="445">
        <v>1</v>
      </c>
      <c r="AA91" s="446">
        <v>0</v>
      </c>
      <c r="AB91" s="447">
        <v>0</v>
      </c>
      <c r="AC91" s="446">
        <v>0</v>
      </c>
      <c r="AD91" s="447">
        <v>0</v>
      </c>
      <c r="AE91" s="445">
        <v>1</v>
      </c>
    </row>
    <row r="92" spans="2:31" ht="12.75">
      <c r="B92" s="431"/>
      <c r="C92" s="433"/>
      <c r="D92" s="433"/>
      <c r="E92" s="433"/>
      <c r="F92" s="450"/>
      <c r="G92" s="451"/>
      <c r="H92" s="452"/>
      <c r="I92" s="451"/>
      <c r="J92" s="453"/>
      <c r="K92" s="450"/>
      <c r="L92" s="451"/>
      <c r="M92" s="452"/>
      <c r="N92" s="451"/>
      <c r="O92" s="453"/>
      <c r="P92" s="450"/>
      <c r="Q92" s="451"/>
      <c r="R92" s="452"/>
      <c r="S92" s="451"/>
      <c r="T92" s="453"/>
      <c r="U92" s="454"/>
      <c r="V92" s="451"/>
      <c r="W92" s="452"/>
      <c r="X92" s="451"/>
      <c r="Y92" s="452"/>
      <c r="Z92" s="450"/>
      <c r="AA92" s="451"/>
      <c r="AB92" s="452"/>
      <c r="AC92" s="451"/>
      <c r="AD92" s="452"/>
      <c r="AE92" s="450"/>
    </row>
    <row r="93" spans="2:31" ht="12.75">
      <c r="B93" s="431"/>
      <c r="C93" s="433"/>
      <c r="D93" s="438" t="s">
        <v>597</v>
      </c>
      <c r="E93" s="433"/>
      <c r="F93" s="450"/>
      <c r="G93" s="451"/>
      <c r="H93" s="452"/>
      <c r="I93" s="451"/>
      <c r="J93" s="453"/>
      <c r="K93" s="450"/>
      <c r="L93" s="451"/>
      <c r="M93" s="452"/>
      <c r="N93" s="451"/>
      <c r="O93" s="453"/>
      <c r="P93" s="450"/>
      <c r="Q93" s="451"/>
      <c r="R93" s="452"/>
      <c r="S93" s="451"/>
      <c r="T93" s="453"/>
      <c r="U93" s="454"/>
      <c r="V93" s="451"/>
      <c r="W93" s="452"/>
      <c r="X93" s="451"/>
      <c r="Y93" s="452"/>
      <c r="Z93" s="450"/>
      <c r="AA93" s="451"/>
      <c r="AB93" s="452"/>
      <c r="AC93" s="451"/>
      <c r="AD93" s="452"/>
      <c r="AE93" s="450"/>
    </row>
    <row r="94" spans="2:31" ht="12.75">
      <c r="B94" s="431"/>
      <c r="C94" s="433"/>
      <c r="D94" s="433"/>
      <c r="E94" s="433" t="s">
        <v>84</v>
      </c>
      <c r="F94" s="445">
        <v>1.3</v>
      </c>
      <c r="G94" s="446">
        <v>0</v>
      </c>
      <c r="H94" s="447">
        <v>0</v>
      </c>
      <c r="I94" s="446" t="s">
        <v>813</v>
      </c>
      <c r="J94" s="449">
        <v>0</v>
      </c>
      <c r="K94" s="445">
        <v>1.3</v>
      </c>
      <c r="L94" s="446">
        <v>0</v>
      </c>
      <c r="M94" s="447">
        <v>0</v>
      </c>
      <c r="N94" s="446" t="s">
        <v>813</v>
      </c>
      <c r="O94" s="449">
        <v>0</v>
      </c>
      <c r="P94" s="445">
        <v>1.3</v>
      </c>
      <c r="Q94" s="446">
        <v>0</v>
      </c>
      <c r="R94" s="447">
        <v>0</v>
      </c>
      <c r="S94" s="446" t="s">
        <v>813</v>
      </c>
      <c r="T94" s="449">
        <v>0</v>
      </c>
      <c r="U94" s="448">
        <v>1.3</v>
      </c>
      <c r="V94" s="446">
        <v>0</v>
      </c>
      <c r="W94" s="447">
        <v>0</v>
      </c>
      <c r="X94" s="446">
        <v>0</v>
      </c>
      <c r="Y94" s="447">
        <v>0</v>
      </c>
      <c r="Z94" s="445">
        <v>1.3</v>
      </c>
      <c r="AA94" s="446">
        <v>0</v>
      </c>
      <c r="AB94" s="447">
        <v>0</v>
      </c>
      <c r="AC94" s="446">
        <v>0</v>
      </c>
      <c r="AD94" s="447">
        <v>0</v>
      </c>
      <c r="AE94" s="445">
        <v>1.3</v>
      </c>
    </row>
    <row r="95" spans="2:31" ht="12.75">
      <c r="B95" s="431"/>
      <c r="C95" s="433"/>
      <c r="D95" s="438"/>
      <c r="E95" s="433"/>
      <c r="F95" s="450"/>
      <c r="G95" s="451"/>
      <c r="H95" s="452"/>
      <c r="I95" s="451"/>
      <c r="J95" s="453"/>
      <c r="K95" s="450"/>
      <c r="L95" s="451"/>
      <c r="M95" s="452"/>
      <c r="N95" s="451"/>
      <c r="O95" s="453"/>
      <c r="P95" s="450"/>
      <c r="Q95" s="451"/>
      <c r="R95" s="452"/>
      <c r="S95" s="451"/>
      <c r="T95" s="453"/>
      <c r="U95" s="454"/>
      <c r="V95" s="451"/>
      <c r="W95" s="452"/>
      <c r="X95" s="451"/>
      <c r="Y95" s="452"/>
      <c r="Z95" s="450"/>
      <c r="AA95" s="451"/>
      <c r="AB95" s="452"/>
      <c r="AC95" s="451"/>
      <c r="AD95" s="452"/>
      <c r="AE95" s="450"/>
    </row>
    <row r="96" spans="2:31" ht="12.75">
      <c r="B96" s="431"/>
      <c r="C96" s="433"/>
      <c r="D96" s="438" t="s">
        <v>320</v>
      </c>
      <c r="E96" s="433"/>
      <c r="F96" s="450"/>
      <c r="G96" s="451"/>
      <c r="H96" s="452"/>
      <c r="I96" s="451"/>
      <c r="J96" s="453"/>
      <c r="K96" s="450"/>
      <c r="L96" s="451"/>
      <c r="M96" s="452"/>
      <c r="N96" s="451"/>
      <c r="O96" s="453"/>
      <c r="P96" s="450"/>
      <c r="Q96" s="451"/>
      <c r="R96" s="452"/>
      <c r="S96" s="451"/>
      <c r="T96" s="453"/>
      <c r="U96" s="454"/>
      <c r="V96" s="451"/>
      <c r="W96" s="452"/>
      <c r="X96" s="451"/>
      <c r="Y96" s="452"/>
      <c r="Z96" s="450"/>
      <c r="AA96" s="451"/>
      <c r="AB96" s="452"/>
      <c r="AC96" s="451"/>
      <c r="AD96" s="452"/>
      <c r="AE96" s="450"/>
    </row>
    <row r="97" spans="2:31" ht="12.75">
      <c r="B97" s="431"/>
      <c r="C97" s="433"/>
      <c r="D97" s="438"/>
      <c r="E97" s="463" t="s">
        <v>85</v>
      </c>
      <c r="F97" s="445">
        <v>295</v>
      </c>
      <c r="G97" s="446">
        <v>0</v>
      </c>
      <c r="H97" s="447">
        <v>0</v>
      </c>
      <c r="I97" s="446">
        <v>0</v>
      </c>
      <c r="J97" s="449">
        <v>0</v>
      </c>
      <c r="K97" s="445">
        <v>295</v>
      </c>
      <c r="L97" s="446">
        <v>0</v>
      </c>
      <c r="M97" s="447">
        <v>0</v>
      </c>
      <c r="N97" s="446">
        <v>0</v>
      </c>
      <c r="O97" s="449">
        <v>7</v>
      </c>
      <c r="P97" s="445">
        <v>302</v>
      </c>
      <c r="Q97" s="446">
        <v>0</v>
      </c>
      <c r="R97" s="447">
        <v>0</v>
      </c>
      <c r="S97" s="446">
        <v>1</v>
      </c>
      <c r="T97" s="449">
        <v>6</v>
      </c>
      <c r="U97" s="448">
        <v>309</v>
      </c>
      <c r="V97" s="446">
        <v>0</v>
      </c>
      <c r="W97" s="447">
        <v>6</v>
      </c>
      <c r="X97" s="446">
        <v>1</v>
      </c>
      <c r="Y97" s="447">
        <v>6</v>
      </c>
      <c r="Z97" s="445">
        <v>310</v>
      </c>
      <c r="AA97" s="446">
        <v>0</v>
      </c>
      <c r="AB97" s="447">
        <v>6</v>
      </c>
      <c r="AC97" s="446">
        <v>1</v>
      </c>
      <c r="AD97" s="447">
        <v>6</v>
      </c>
      <c r="AE97" s="445">
        <v>311</v>
      </c>
    </row>
    <row r="98" spans="2:31" ht="12.75">
      <c r="B98" s="431"/>
      <c r="C98" s="433"/>
      <c r="D98" s="438"/>
      <c r="E98" s="463" t="s">
        <v>86</v>
      </c>
      <c r="F98" s="445">
        <v>294</v>
      </c>
      <c r="G98" s="446">
        <v>10</v>
      </c>
      <c r="H98" s="447">
        <v>5</v>
      </c>
      <c r="I98" s="446">
        <v>0</v>
      </c>
      <c r="J98" s="449">
        <v>5</v>
      </c>
      <c r="K98" s="445">
        <v>284</v>
      </c>
      <c r="L98" s="446">
        <v>2</v>
      </c>
      <c r="M98" s="447">
        <v>2</v>
      </c>
      <c r="N98" s="446">
        <v>0</v>
      </c>
      <c r="O98" s="449">
        <v>2</v>
      </c>
      <c r="P98" s="445">
        <v>282</v>
      </c>
      <c r="Q98" s="446">
        <v>6</v>
      </c>
      <c r="R98" s="447">
        <v>30</v>
      </c>
      <c r="S98" s="446">
        <v>0</v>
      </c>
      <c r="T98" s="449">
        <v>30</v>
      </c>
      <c r="U98" s="448">
        <v>276</v>
      </c>
      <c r="V98" s="446">
        <v>2</v>
      </c>
      <c r="W98" s="447">
        <v>4</v>
      </c>
      <c r="X98" s="446">
        <v>1</v>
      </c>
      <c r="Y98" s="447">
        <v>4</v>
      </c>
      <c r="Z98" s="445">
        <v>275</v>
      </c>
      <c r="AA98" s="446">
        <v>2</v>
      </c>
      <c r="AB98" s="447">
        <v>4</v>
      </c>
      <c r="AC98" s="446">
        <v>1</v>
      </c>
      <c r="AD98" s="447">
        <v>4</v>
      </c>
      <c r="AE98" s="445">
        <v>274</v>
      </c>
    </row>
    <row r="99" spans="2:31" ht="12.75">
      <c r="B99" s="431"/>
      <c r="C99" s="433"/>
      <c r="D99" s="438"/>
      <c r="E99" s="463" t="s">
        <v>87</v>
      </c>
      <c r="F99" s="445">
        <v>16</v>
      </c>
      <c r="G99" s="446">
        <v>0</v>
      </c>
      <c r="H99" s="447">
        <v>0</v>
      </c>
      <c r="I99" s="446">
        <v>0</v>
      </c>
      <c r="J99" s="449">
        <v>0</v>
      </c>
      <c r="K99" s="445">
        <v>16</v>
      </c>
      <c r="L99" s="446">
        <v>0</v>
      </c>
      <c r="M99" s="447">
        <v>0</v>
      </c>
      <c r="N99" s="446">
        <v>0</v>
      </c>
      <c r="O99" s="449">
        <v>0</v>
      </c>
      <c r="P99" s="445">
        <v>16</v>
      </c>
      <c r="Q99" s="446">
        <v>0</v>
      </c>
      <c r="R99" s="447">
        <v>0</v>
      </c>
      <c r="S99" s="446">
        <v>0</v>
      </c>
      <c r="T99" s="449">
        <v>0</v>
      </c>
      <c r="U99" s="448">
        <v>16</v>
      </c>
      <c r="V99" s="446">
        <v>0</v>
      </c>
      <c r="W99" s="447">
        <v>0</v>
      </c>
      <c r="X99" s="446">
        <v>0</v>
      </c>
      <c r="Y99" s="447">
        <v>0</v>
      </c>
      <c r="Z99" s="445">
        <v>16</v>
      </c>
      <c r="AA99" s="446">
        <v>0</v>
      </c>
      <c r="AB99" s="447">
        <v>0</v>
      </c>
      <c r="AC99" s="446">
        <v>0</v>
      </c>
      <c r="AD99" s="447">
        <v>0</v>
      </c>
      <c r="AE99" s="445">
        <v>16</v>
      </c>
    </row>
    <row r="100" spans="2:31" ht="12.75">
      <c r="B100" s="431"/>
      <c r="C100" s="433"/>
      <c r="D100" s="438"/>
      <c r="E100" s="463" t="s">
        <v>88</v>
      </c>
      <c r="F100" s="445">
        <v>0</v>
      </c>
      <c r="G100" s="446">
        <v>0</v>
      </c>
      <c r="H100" s="447">
        <v>0</v>
      </c>
      <c r="I100" s="446">
        <v>0</v>
      </c>
      <c r="J100" s="449">
        <v>0</v>
      </c>
      <c r="K100" s="445">
        <v>0</v>
      </c>
      <c r="L100" s="446">
        <v>0</v>
      </c>
      <c r="M100" s="447">
        <v>0</v>
      </c>
      <c r="N100" s="446">
        <v>0</v>
      </c>
      <c r="O100" s="449">
        <v>0</v>
      </c>
      <c r="P100" s="445">
        <v>0</v>
      </c>
      <c r="Q100" s="446">
        <v>0</v>
      </c>
      <c r="R100" s="447">
        <v>0</v>
      </c>
      <c r="S100" s="446">
        <v>0</v>
      </c>
      <c r="T100" s="449">
        <v>0</v>
      </c>
      <c r="U100" s="448">
        <v>0</v>
      </c>
      <c r="V100" s="446">
        <v>0</v>
      </c>
      <c r="W100" s="447">
        <v>0</v>
      </c>
      <c r="X100" s="446">
        <v>0</v>
      </c>
      <c r="Y100" s="447">
        <v>0</v>
      </c>
      <c r="Z100" s="445">
        <v>0</v>
      </c>
      <c r="AA100" s="446">
        <v>0</v>
      </c>
      <c r="AB100" s="447">
        <v>0</v>
      </c>
      <c r="AC100" s="446">
        <v>0</v>
      </c>
      <c r="AD100" s="447">
        <v>0</v>
      </c>
      <c r="AE100" s="445">
        <v>0</v>
      </c>
    </row>
    <row r="101" spans="2:31" ht="12.75">
      <c r="B101" s="431"/>
      <c r="C101" s="433"/>
      <c r="D101" s="438"/>
      <c r="E101" s="463" t="s">
        <v>89</v>
      </c>
      <c r="F101" s="445">
        <v>0</v>
      </c>
      <c r="G101" s="446">
        <v>0</v>
      </c>
      <c r="H101" s="447">
        <v>0</v>
      </c>
      <c r="I101" s="446">
        <v>0</v>
      </c>
      <c r="J101" s="449">
        <v>0</v>
      </c>
      <c r="K101" s="445">
        <v>0</v>
      </c>
      <c r="L101" s="446">
        <v>0</v>
      </c>
      <c r="M101" s="447">
        <v>0</v>
      </c>
      <c r="N101" s="446">
        <v>0</v>
      </c>
      <c r="O101" s="449">
        <v>0</v>
      </c>
      <c r="P101" s="445">
        <v>0</v>
      </c>
      <c r="Q101" s="446">
        <v>0</v>
      </c>
      <c r="R101" s="447">
        <v>0</v>
      </c>
      <c r="S101" s="446">
        <v>0</v>
      </c>
      <c r="T101" s="449">
        <v>0</v>
      </c>
      <c r="U101" s="448">
        <v>0</v>
      </c>
      <c r="V101" s="446">
        <v>0</v>
      </c>
      <c r="W101" s="447">
        <v>0</v>
      </c>
      <c r="X101" s="446">
        <v>0</v>
      </c>
      <c r="Y101" s="447">
        <v>0</v>
      </c>
      <c r="Z101" s="445">
        <v>0</v>
      </c>
      <c r="AA101" s="446">
        <v>0</v>
      </c>
      <c r="AB101" s="447">
        <v>0</v>
      </c>
      <c r="AC101" s="446">
        <v>0</v>
      </c>
      <c r="AD101" s="447">
        <v>0</v>
      </c>
      <c r="AE101" s="445">
        <v>0</v>
      </c>
    </row>
    <row r="102" spans="2:31" ht="12.75">
      <c r="B102" s="431"/>
      <c r="C102" s="433"/>
      <c r="D102" s="438"/>
      <c r="E102" s="463" t="s">
        <v>90</v>
      </c>
      <c r="F102" s="445">
        <v>1117</v>
      </c>
      <c r="G102" s="446">
        <v>9</v>
      </c>
      <c r="H102" s="447">
        <v>10</v>
      </c>
      <c r="I102" s="446">
        <v>0</v>
      </c>
      <c r="J102" s="449">
        <v>10</v>
      </c>
      <c r="K102" s="445">
        <v>1108</v>
      </c>
      <c r="L102" s="446">
        <v>26</v>
      </c>
      <c r="M102" s="447">
        <v>1</v>
      </c>
      <c r="N102" s="446">
        <v>0</v>
      </c>
      <c r="O102" s="449">
        <v>1</v>
      </c>
      <c r="P102" s="445">
        <v>1082</v>
      </c>
      <c r="Q102" s="446">
        <v>4</v>
      </c>
      <c r="R102" s="447">
        <v>8</v>
      </c>
      <c r="S102" s="446">
        <v>0</v>
      </c>
      <c r="T102" s="449">
        <v>8</v>
      </c>
      <c r="U102" s="448">
        <v>1078</v>
      </c>
      <c r="V102" s="446">
        <v>4</v>
      </c>
      <c r="W102" s="447">
        <v>0</v>
      </c>
      <c r="X102" s="446">
        <v>2</v>
      </c>
      <c r="Y102" s="447">
        <v>0</v>
      </c>
      <c r="Z102" s="445">
        <v>1076</v>
      </c>
      <c r="AA102" s="446">
        <v>4</v>
      </c>
      <c r="AB102" s="447">
        <v>0</v>
      </c>
      <c r="AC102" s="446">
        <v>2</v>
      </c>
      <c r="AD102" s="447">
        <v>0</v>
      </c>
      <c r="AE102" s="445">
        <v>1074</v>
      </c>
    </row>
    <row r="103" spans="2:31" ht="12.75">
      <c r="B103" s="431"/>
      <c r="C103" s="433"/>
      <c r="D103" s="438"/>
      <c r="E103" s="463" t="s">
        <v>91</v>
      </c>
      <c r="F103" s="445">
        <v>53</v>
      </c>
      <c r="G103" s="446">
        <v>0</v>
      </c>
      <c r="H103" s="447">
        <v>0</v>
      </c>
      <c r="I103" s="446">
        <v>0</v>
      </c>
      <c r="J103" s="449">
        <v>0</v>
      </c>
      <c r="K103" s="445">
        <v>53</v>
      </c>
      <c r="L103" s="446">
        <v>0</v>
      </c>
      <c r="M103" s="447">
        <v>0</v>
      </c>
      <c r="N103" s="446">
        <v>0</v>
      </c>
      <c r="O103" s="449">
        <v>0</v>
      </c>
      <c r="P103" s="445">
        <v>53</v>
      </c>
      <c r="Q103" s="446">
        <v>0</v>
      </c>
      <c r="R103" s="447">
        <v>0</v>
      </c>
      <c r="S103" s="446">
        <v>0</v>
      </c>
      <c r="T103" s="449">
        <v>0</v>
      </c>
      <c r="U103" s="448">
        <v>53</v>
      </c>
      <c r="V103" s="446">
        <v>0</v>
      </c>
      <c r="W103" s="447">
        <v>1</v>
      </c>
      <c r="X103" s="446">
        <v>0</v>
      </c>
      <c r="Y103" s="447">
        <v>1</v>
      </c>
      <c r="Z103" s="445">
        <v>53</v>
      </c>
      <c r="AA103" s="446">
        <v>0</v>
      </c>
      <c r="AB103" s="447">
        <v>1</v>
      </c>
      <c r="AC103" s="446">
        <v>0</v>
      </c>
      <c r="AD103" s="447">
        <v>1</v>
      </c>
      <c r="AE103" s="445">
        <v>53</v>
      </c>
    </row>
    <row r="104" spans="2:31" ht="12.75">
      <c r="B104" s="431"/>
      <c r="C104" s="433"/>
      <c r="D104" s="438"/>
      <c r="E104" s="463" t="s">
        <v>92</v>
      </c>
      <c r="F104" s="445">
        <v>233</v>
      </c>
      <c r="G104" s="446">
        <v>0</v>
      </c>
      <c r="H104" s="447">
        <v>0</v>
      </c>
      <c r="I104" s="446">
        <v>0</v>
      </c>
      <c r="J104" s="449">
        <v>0</v>
      </c>
      <c r="K104" s="445">
        <v>233</v>
      </c>
      <c r="L104" s="446">
        <v>0</v>
      </c>
      <c r="M104" s="447">
        <v>0</v>
      </c>
      <c r="N104" s="446">
        <v>0</v>
      </c>
      <c r="O104" s="449">
        <v>0</v>
      </c>
      <c r="P104" s="445">
        <v>233</v>
      </c>
      <c r="Q104" s="446">
        <v>2</v>
      </c>
      <c r="R104" s="447">
        <v>0</v>
      </c>
      <c r="S104" s="446">
        <v>0</v>
      </c>
      <c r="T104" s="449">
        <v>0</v>
      </c>
      <c r="U104" s="448">
        <v>231</v>
      </c>
      <c r="V104" s="446">
        <v>0</v>
      </c>
      <c r="W104" s="447">
        <v>0</v>
      </c>
      <c r="X104" s="446">
        <v>2</v>
      </c>
      <c r="Y104" s="447">
        <v>0</v>
      </c>
      <c r="Z104" s="445">
        <v>233</v>
      </c>
      <c r="AA104" s="446">
        <v>0</v>
      </c>
      <c r="AB104" s="447">
        <v>0</v>
      </c>
      <c r="AC104" s="446">
        <v>0</v>
      </c>
      <c r="AD104" s="447">
        <v>0</v>
      </c>
      <c r="AE104" s="445">
        <v>233</v>
      </c>
    </row>
    <row r="105" spans="2:31" ht="12.75">
      <c r="B105" s="431"/>
      <c r="C105" s="433"/>
      <c r="D105" s="438"/>
      <c r="E105" s="433"/>
      <c r="F105" s="450"/>
      <c r="G105" s="451"/>
      <c r="H105" s="452"/>
      <c r="I105" s="451"/>
      <c r="J105" s="453"/>
      <c r="K105" s="450"/>
      <c r="L105" s="451"/>
      <c r="M105" s="452"/>
      <c r="N105" s="451"/>
      <c r="O105" s="453"/>
      <c r="P105" s="450"/>
      <c r="Q105" s="451"/>
      <c r="R105" s="452"/>
      <c r="S105" s="451"/>
      <c r="T105" s="453"/>
      <c r="U105" s="454"/>
      <c r="V105" s="451"/>
      <c r="W105" s="452"/>
      <c r="X105" s="451"/>
      <c r="Y105" s="452"/>
      <c r="Z105" s="450"/>
      <c r="AA105" s="451"/>
      <c r="AB105" s="452"/>
      <c r="AC105" s="451"/>
      <c r="AD105" s="452"/>
      <c r="AE105" s="450"/>
    </row>
    <row r="106" spans="2:31" ht="12.75">
      <c r="B106" s="431"/>
      <c r="C106" s="433"/>
      <c r="D106" s="438" t="s">
        <v>227</v>
      </c>
      <c r="E106" s="433"/>
      <c r="F106" s="450"/>
      <c r="G106" s="451"/>
      <c r="H106" s="452"/>
      <c r="I106" s="451"/>
      <c r="J106" s="453"/>
      <c r="K106" s="450"/>
      <c r="L106" s="451"/>
      <c r="M106" s="452"/>
      <c r="N106" s="451"/>
      <c r="O106" s="453"/>
      <c r="P106" s="450"/>
      <c r="Q106" s="451"/>
      <c r="R106" s="452"/>
      <c r="S106" s="451"/>
      <c r="T106" s="453"/>
      <c r="U106" s="454"/>
      <c r="V106" s="451"/>
      <c r="W106" s="452"/>
      <c r="X106" s="451"/>
      <c r="Y106" s="452"/>
      <c r="Z106" s="450"/>
      <c r="AA106" s="451"/>
      <c r="AB106" s="452"/>
      <c r="AC106" s="451"/>
      <c r="AD106" s="452"/>
      <c r="AE106" s="450"/>
    </row>
    <row r="107" spans="2:31" ht="12.75">
      <c r="B107" s="431"/>
      <c r="C107" s="433"/>
      <c r="D107" s="433"/>
      <c r="E107" s="463" t="s">
        <v>93</v>
      </c>
      <c r="F107" s="445">
        <v>0</v>
      </c>
      <c r="G107" s="446">
        <v>0</v>
      </c>
      <c r="H107" s="447">
        <v>0</v>
      </c>
      <c r="I107" s="446">
        <v>0</v>
      </c>
      <c r="J107" s="449">
        <v>0</v>
      </c>
      <c r="K107" s="445">
        <v>0</v>
      </c>
      <c r="L107" s="446">
        <v>0</v>
      </c>
      <c r="M107" s="447">
        <v>0</v>
      </c>
      <c r="N107" s="446">
        <v>0</v>
      </c>
      <c r="O107" s="449">
        <v>0</v>
      </c>
      <c r="P107" s="445">
        <v>0</v>
      </c>
      <c r="Q107" s="446">
        <v>0</v>
      </c>
      <c r="R107" s="447">
        <v>0</v>
      </c>
      <c r="S107" s="446">
        <v>0</v>
      </c>
      <c r="T107" s="449">
        <v>0</v>
      </c>
      <c r="U107" s="448">
        <v>0</v>
      </c>
      <c r="V107" s="446">
        <v>0</v>
      </c>
      <c r="W107" s="447">
        <v>0</v>
      </c>
      <c r="X107" s="446">
        <v>0</v>
      </c>
      <c r="Y107" s="447">
        <v>0</v>
      </c>
      <c r="Z107" s="445">
        <v>0</v>
      </c>
      <c r="AA107" s="446">
        <v>0</v>
      </c>
      <c r="AB107" s="447">
        <v>0</v>
      </c>
      <c r="AC107" s="446">
        <v>0</v>
      </c>
      <c r="AD107" s="447">
        <v>0</v>
      </c>
      <c r="AE107" s="445">
        <v>0</v>
      </c>
    </row>
    <row r="108" spans="2:31" ht="12.75">
      <c r="B108" s="431"/>
      <c r="C108" s="433"/>
      <c r="D108" s="433"/>
      <c r="E108" s="463" t="s">
        <v>94</v>
      </c>
      <c r="F108" s="445">
        <v>247</v>
      </c>
      <c r="G108" s="446">
        <v>2</v>
      </c>
      <c r="H108" s="447">
        <v>0</v>
      </c>
      <c r="I108" s="446">
        <v>3</v>
      </c>
      <c r="J108" s="449">
        <v>0</v>
      </c>
      <c r="K108" s="445">
        <v>248</v>
      </c>
      <c r="L108" s="446">
        <v>0</v>
      </c>
      <c r="M108" s="447">
        <v>0</v>
      </c>
      <c r="N108" s="446">
        <v>3</v>
      </c>
      <c r="O108" s="449">
        <v>0</v>
      </c>
      <c r="P108" s="445">
        <v>251</v>
      </c>
      <c r="Q108" s="446">
        <v>5</v>
      </c>
      <c r="R108" s="447">
        <v>0</v>
      </c>
      <c r="S108" s="446">
        <v>1</v>
      </c>
      <c r="T108" s="449">
        <v>0</v>
      </c>
      <c r="U108" s="448">
        <v>247</v>
      </c>
      <c r="V108" s="446">
        <v>2</v>
      </c>
      <c r="W108" s="447">
        <v>2</v>
      </c>
      <c r="X108" s="446">
        <v>2</v>
      </c>
      <c r="Y108" s="447">
        <v>2</v>
      </c>
      <c r="Z108" s="445">
        <v>247</v>
      </c>
      <c r="AA108" s="446">
        <v>2</v>
      </c>
      <c r="AB108" s="447">
        <v>2</v>
      </c>
      <c r="AC108" s="446">
        <v>2</v>
      </c>
      <c r="AD108" s="447">
        <v>2</v>
      </c>
      <c r="AE108" s="445">
        <v>247</v>
      </c>
    </row>
    <row r="109" spans="2:31" ht="12.75">
      <c r="B109" s="431"/>
      <c r="C109" s="433"/>
      <c r="D109" s="433"/>
      <c r="E109" s="433" t="s">
        <v>95</v>
      </c>
      <c r="F109" s="445">
        <v>242</v>
      </c>
      <c r="G109" s="446">
        <v>0</v>
      </c>
      <c r="H109" s="447">
        <v>0</v>
      </c>
      <c r="I109" s="446">
        <v>0</v>
      </c>
      <c r="J109" s="449">
        <v>0</v>
      </c>
      <c r="K109" s="445">
        <v>242</v>
      </c>
      <c r="L109" s="446">
        <v>0</v>
      </c>
      <c r="M109" s="447">
        <v>0</v>
      </c>
      <c r="N109" s="446">
        <v>2</v>
      </c>
      <c r="O109" s="449">
        <v>0</v>
      </c>
      <c r="P109" s="445">
        <v>244</v>
      </c>
      <c r="Q109" s="446">
        <v>0</v>
      </c>
      <c r="R109" s="447">
        <v>0</v>
      </c>
      <c r="S109" s="446">
        <v>0</v>
      </c>
      <c r="T109" s="449">
        <v>0</v>
      </c>
      <c r="U109" s="448">
        <v>244</v>
      </c>
      <c r="V109" s="446">
        <v>0</v>
      </c>
      <c r="W109" s="447">
        <v>0</v>
      </c>
      <c r="X109" s="446">
        <v>0</v>
      </c>
      <c r="Y109" s="447">
        <v>0</v>
      </c>
      <c r="Z109" s="445">
        <v>244</v>
      </c>
      <c r="AA109" s="446">
        <v>0</v>
      </c>
      <c r="AB109" s="447">
        <v>0</v>
      </c>
      <c r="AC109" s="446">
        <v>0</v>
      </c>
      <c r="AD109" s="447">
        <v>0</v>
      </c>
      <c r="AE109" s="445">
        <v>244</v>
      </c>
    </row>
    <row r="110" spans="2:31" ht="12.75">
      <c r="B110" s="431"/>
      <c r="C110" s="433"/>
      <c r="D110" s="433"/>
      <c r="E110" s="463" t="s">
        <v>275</v>
      </c>
      <c r="F110" s="445">
        <v>30</v>
      </c>
      <c r="G110" s="446">
        <v>0</v>
      </c>
      <c r="H110" s="447">
        <v>0</v>
      </c>
      <c r="I110" s="446">
        <v>0</v>
      </c>
      <c r="J110" s="449">
        <v>0</v>
      </c>
      <c r="K110" s="445">
        <v>30</v>
      </c>
      <c r="L110" s="446">
        <v>0</v>
      </c>
      <c r="M110" s="447">
        <v>0</v>
      </c>
      <c r="N110" s="446">
        <v>0</v>
      </c>
      <c r="O110" s="449">
        <v>0</v>
      </c>
      <c r="P110" s="445">
        <v>30</v>
      </c>
      <c r="Q110" s="446">
        <v>0</v>
      </c>
      <c r="R110" s="447">
        <v>0</v>
      </c>
      <c r="S110" s="446">
        <v>0</v>
      </c>
      <c r="T110" s="449">
        <v>0</v>
      </c>
      <c r="U110" s="448">
        <v>30</v>
      </c>
      <c r="V110" s="446">
        <v>0</v>
      </c>
      <c r="W110" s="447">
        <v>2</v>
      </c>
      <c r="X110" s="446">
        <v>0</v>
      </c>
      <c r="Y110" s="447">
        <v>2</v>
      </c>
      <c r="Z110" s="445">
        <v>30</v>
      </c>
      <c r="AA110" s="446">
        <v>0</v>
      </c>
      <c r="AB110" s="447">
        <v>2</v>
      </c>
      <c r="AC110" s="446">
        <v>0</v>
      </c>
      <c r="AD110" s="447">
        <v>2</v>
      </c>
      <c r="AE110" s="445">
        <v>30</v>
      </c>
    </row>
    <row r="111" spans="2:31" ht="12.75">
      <c r="B111" s="431"/>
      <c r="C111" s="433"/>
      <c r="D111" s="438"/>
      <c r="E111" s="433" t="s">
        <v>276</v>
      </c>
      <c r="F111" s="445">
        <v>0</v>
      </c>
      <c r="G111" s="446">
        <v>0</v>
      </c>
      <c r="H111" s="447">
        <v>0</v>
      </c>
      <c r="I111" s="446">
        <v>0</v>
      </c>
      <c r="J111" s="449">
        <v>0</v>
      </c>
      <c r="K111" s="445">
        <v>0</v>
      </c>
      <c r="L111" s="446">
        <v>0</v>
      </c>
      <c r="M111" s="447">
        <v>0</v>
      </c>
      <c r="N111" s="446">
        <v>0</v>
      </c>
      <c r="O111" s="449">
        <v>0</v>
      </c>
      <c r="P111" s="445">
        <v>0</v>
      </c>
      <c r="Q111" s="446">
        <v>0</v>
      </c>
      <c r="R111" s="447">
        <v>0</v>
      </c>
      <c r="S111" s="446">
        <v>0</v>
      </c>
      <c r="T111" s="449">
        <v>0</v>
      </c>
      <c r="U111" s="448">
        <v>0</v>
      </c>
      <c r="V111" s="446">
        <v>0</v>
      </c>
      <c r="W111" s="447">
        <v>0</v>
      </c>
      <c r="X111" s="446">
        <v>0</v>
      </c>
      <c r="Y111" s="447">
        <v>0</v>
      </c>
      <c r="Z111" s="445">
        <v>0</v>
      </c>
      <c r="AA111" s="446">
        <v>0</v>
      </c>
      <c r="AB111" s="447">
        <v>0</v>
      </c>
      <c r="AC111" s="446">
        <v>0</v>
      </c>
      <c r="AD111" s="447">
        <v>0</v>
      </c>
      <c r="AE111" s="445">
        <v>0</v>
      </c>
    </row>
    <row r="112" spans="2:31" ht="13.5" thickBot="1">
      <c r="B112" s="421"/>
      <c r="C112" s="422"/>
      <c r="D112" s="422"/>
      <c r="E112" s="422"/>
      <c r="F112" s="455"/>
      <c r="G112" s="456"/>
      <c r="H112" s="457"/>
      <c r="I112" s="456"/>
      <c r="J112" s="458"/>
      <c r="K112" s="459"/>
      <c r="L112" s="456"/>
      <c r="M112" s="457"/>
      <c r="N112" s="456"/>
      <c r="O112" s="458"/>
      <c r="P112" s="459"/>
      <c r="Q112" s="456"/>
      <c r="R112" s="457"/>
      <c r="S112" s="456"/>
      <c r="T112" s="458"/>
      <c r="U112" s="460"/>
      <c r="V112" s="456"/>
      <c r="W112" s="457"/>
      <c r="X112" s="456"/>
      <c r="Y112" s="457"/>
      <c r="Z112" s="459"/>
      <c r="AA112" s="456"/>
      <c r="AB112" s="457"/>
      <c r="AC112" s="456"/>
      <c r="AD112" s="457"/>
      <c r="AE112" s="459"/>
    </row>
    <row r="113" spans="2:31" ht="12.75">
      <c r="B113" s="461"/>
      <c r="C113" s="462" t="s">
        <v>277</v>
      </c>
      <c r="D113" s="462"/>
      <c r="E113" s="463"/>
      <c r="F113" s="450"/>
      <c r="G113" s="451"/>
      <c r="H113" s="452"/>
      <c r="I113" s="451"/>
      <c r="J113" s="453"/>
      <c r="K113" s="450"/>
      <c r="L113" s="451"/>
      <c r="M113" s="452"/>
      <c r="N113" s="451"/>
      <c r="O113" s="453"/>
      <c r="P113" s="450"/>
      <c r="Q113" s="451"/>
      <c r="R113" s="452"/>
      <c r="S113" s="451"/>
      <c r="T113" s="453"/>
      <c r="U113" s="454"/>
      <c r="V113" s="451"/>
      <c r="W113" s="452"/>
      <c r="X113" s="451"/>
      <c r="Y113" s="452"/>
      <c r="Z113" s="450"/>
      <c r="AA113" s="451"/>
      <c r="AB113" s="452"/>
      <c r="AC113" s="451"/>
      <c r="AD113" s="452"/>
      <c r="AE113" s="450"/>
    </row>
    <row r="114" spans="2:31" ht="12.75">
      <c r="B114" s="431"/>
      <c r="C114" s="433"/>
      <c r="D114" s="438" t="s">
        <v>264</v>
      </c>
      <c r="E114" s="433"/>
      <c r="F114" s="450"/>
      <c r="G114" s="451"/>
      <c r="H114" s="452"/>
      <c r="I114" s="451"/>
      <c r="J114" s="453"/>
      <c r="K114" s="450"/>
      <c r="L114" s="451"/>
      <c r="M114" s="452"/>
      <c r="N114" s="451"/>
      <c r="O114" s="453"/>
      <c r="P114" s="450"/>
      <c r="Q114" s="451"/>
      <c r="R114" s="452"/>
      <c r="S114" s="451"/>
      <c r="T114" s="453"/>
      <c r="U114" s="454"/>
      <c r="V114" s="451"/>
      <c r="W114" s="452"/>
      <c r="X114" s="451"/>
      <c r="Y114" s="452"/>
      <c r="Z114" s="450"/>
      <c r="AA114" s="451"/>
      <c r="AB114" s="452"/>
      <c r="AC114" s="451"/>
      <c r="AD114" s="452"/>
      <c r="AE114" s="450"/>
    </row>
    <row r="115" spans="2:31" ht="12.75">
      <c r="B115" s="431"/>
      <c r="C115" s="433"/>
      <c r="D115" s="438"/>
      <c r="E115" s="433" t="s">
        <v>278</v>
      </c>
      <c r="F115" s="445">
        <v>91</v>
      </c>
      <c r="G115" s="446">
        <v>0</v>
      </c>
      <c r="H115" s="447">
        <v>0</v>
      </c>
      <c r="I115" s="446">
        <v>0</v>
      </c>
      <c r="J115" s="449">
        <v>0</v>
      </c>
      <c r="K115" s="445">
        <v>91</v>
      </c>
      <c r="L115" s="446">
        <v>0</v>
      </c>
      <c r="M115" s="447">
        <v>0</v>
      </c>
      <c r="N115" s="446">
        <v>0</v>
      </c>
      <c r="O115" s="449">
        <v>0</v>
      </c>
      <c r="P115" s="445">
        <v>91</v>
      </c>
      <c r="Q115" s="446">
        <v>0</v>
      </c>
      <c r="R115" s="447">
        <v>0</v>
      </c>
      <c r="S115" s="446">
        <v>0</v>
      </c>
      <c r="T115" s="449">
        <v>0</v>
      </c>
      <c r="U115" s="448">
        <v>91</v>
      </c>
      <c r="V115" s="446">
        <v>0</v>
      </c>
      <c r="W115" s="447">
        <v>0</v>
      </c>
      <c r="X115" s="446">
        <v>0</v>
      </c>
      <c r="Y115" s="447">
        <v>0</v>
      </c>
      <c r="Z115" s="445">
        <v>91</v>
      </c>
      <c r="AA115" s="446">
        <v>0</v>
      </c>
      <c r="AB115" s="447">
        <v>0</v>
      </c>
      <c r="AC115" s="446">
        <v>0</v>
      </c>
      <c r="AD115" s="447">
        <v>0</v>
      </c>
      <c r="AE115" s="445">
        <v>91</v>
      </c>
    </row>
    <row r="116" spans="2:31" ht="12.75">
      <c r="B116" s="431"/>
      <c r="C116" s="433"/>
      <c r="D116" s="438"/>
      <c r="E116" s="433" t="s">
        <v>279</v>
      </c>
      <c r="F116" s="445">
        <v>1089</v>
      </c>
      <c r="G116" s="446">
        <v>0</v>
      </c>
      <c r="H116" s="447">
        <v>0</v>
      </c>
      <c r="I116" s="446">
        <v>0</v>
      </c>
      <c r="J116" s="449">
        <v>0</v>
      </c>
      <c r="K116" s="445">
        <v>1089</v>
      </c>
      <c r="L116" s="446">
        <v>0</v>
      </c>
      <c r="M116" s="447">
        <v>0</v>
      </c>
      <c r="N116" s="446">
        <v>0</v>
      </c>
      <c r="O116" s="449">
        <v>0</v>
      </c>
      <c r="P116" s="445">
        <v>1089</v>
      </c>
      <c r="Q116" s="446">
        <v>0</v>
      </c>
      <c r="R116" s="447">
        <v>0</v>
      </c>
      <c r="S116" s="446">
        <v>0</v>
      </c>
      <c r="T116" s="449">
        <v>0</v>
      </c>
      <c r="U116" s="448">
        <v>1089</v>
      </c>
      <c r="V116" s="446">
        <v>0</v>
      </c>
      <c r="W116" s="447">
        <v>0</v>
      </c>
      <c r="X116" s="446">
        <v>0</v>
      </c>
      <c r="Y116" s="447">
        <v>0</v>
      </c>
      <c r="Z116" s="445">
        <v>1089</v>
      </c>
      <c r="AA116" s="446">
        <v>0</v>
      </c>
      <c r="AB116" s="447">
        <v>0</v>
      </c>
      <c r="AC116" s="446">
        <v>0</v>
      </c>
      <c r="AD116" s="447">
        <v>0</v>
      </c>
      <c r="AE116" s="445">
        <v>1089</v>
      </c>
    </row>
    <row r="117" spans="2:31" ht="12.75">
      <c r="B117" s="431"/>
      <c r="C117" s="433"/>
      <c r="D117" s="438"/>
      <c r="E117" s="463"/>
      <c r="F117" s="450"/>
      <c r="G117" s="451"/>
      <c r="H117" s="452"/>
      <c r="I117" s="451"/>
      <c r="J117" s="453"/>
      <c r="K117" s="450"/>
      <c r="L117" s="451"/>
      <c r="M117" s="452"/>
      <c r="N117" s="451"/>
      <c r="O117" s="453"/>
      <c r="P117" s="450"/>
      <c r="Q117" s="451"/>
      <c r="R117" s="452"/>
      <c r="S117" s="451"/>
      <c r="T117" s="453"/>
      <c r="U117" s="454"/>
      <c r="V117" s="451"/>
      <c r="W117" s="452"/>
      <c r="X117" s="451"/>
      <c r="Y117" s="452"/>
      <c r="Z117" s="450"/>
      <c r="AA117" s="451"/>
      <c r="AB117" s="452"/>
      <c r="AC117" s="451"/>
      <c r="AD117" s="452"/>
      <c r="AE117" s="450"/>
    </row>
    <row r="118" spans="2:31" ht="12.75">
      <c r="B118" s="431"/>
      <c r="C118" s="433"/>
      <c r="D118" s="438" t="s">
        <v>430</v>
      </c>
      <c r="E118" s="433"/>
      <c r="F118" s="450"/>
      <c r="G118" s="451"/>
      <c r="H118" s="452"/>
      <c r="I118" s="451"/>
      <c r="J118" s="453"/>
      <c r="K118" s="450"/>
      <c r="L118" s="451"/>
      <c r="M118" s="452"/>
      <c r="N118" s="451"/>
      <c r="O118" s="453"/>
      <c r="P118" s="450"/>
      <c r="Q118" s="451"/>
      <c r="R118" s="452"/>
      <c r="S118" s="451"/>
      <c r="T118" s="453"/>
      <c r="U118" s="454"/>
      <c r="V118" s="451"/>
      <c r="W118" s="452"/>
      <c r="X118" s="451"/>
      <c r="Y118" s="452"/>
      <c r="Z118" s="450"/>
      <c r="AA118" s="451"/>
      <c r="AB118" s="452"/>
      <c r="AC118" s="451"/>
      <c r="AD118" s="452"/>
      <c r="AE118" s="450"/>
    </row>
    <row r="119" spans="2:31" ht="12.75">
      <c r="B119" s="431"/>
      <c r="C119" s="433"/>
      <c r="D119" s="438"/>
      <c r="E119" s="433" t="s">
        <v>280</v>
      </c>
      <c r="F119" s="445">
        <v>835</v>
      </c>
      <c r="G119" s="446">
        <v>0</v>
      </c>
      <c r="H119" s="447">
        <v>0</v>
      </c>
      <c r="I119" s="446">
        <v>0</v>
      </c>
      <c r="J119" s="449">
        <v>0</v>
      </c>
      <c r="K119" s="445">
        <v>835</v>
      </c>
      <c r="L119" s="446">
        <v>0</v>
      </c>
      <c r="M119" s="447">
        <v>0</v>
      </c>
      <c r="N119" s="446">
        <v>0</v>
      </c>
      <c r="O119" s="449">
        <v>0</v>
      </c>
      <c r="P119" s="445">
        <v>835</v>
      </c>
      <c r="Q119" s="446">
        <v>0</v>
      </c>
      <c r="R119" s="447">
        <v>0</v>
      </c>
      <c r="S119" s="446">
        <v>0</v>
      </c>
      <c r="T119" s="449">
        <v>0</v>
      </c>
      <c r="U119" s="448">
        <v>835</v>
      </c>
      <c r="V119" s="446">
        <v>0</v>
      </c>
      <c r="W119" s="447">
        <v>10</v>
      </c>
      <c r="X119" s="446">
        <v>0</v>
      </c>
      <c r="Y119" s="447">
        <v>10</v>
      </c>
      <c r="Z119" s="445">
        <v>835</v>
      </c>
      <c r="AA119" s="446">
        <v>0</v>
      </c>
      <c r="AB119" s="447">
        <v>10</v>
      </c>
      <c r="AC119" s="446">
        <v>0</v>
      </c>
      <c r="AD119" s="447">
        <v>10</v>
      </c>
      <c r="AE119" s="445">
        <v>835</v>
      </c>
    </row>
    <row r="120" spans="2:31" ht="12.75">
      <c r="B120" s="431"/>
      <c r="C120" s="433"/>
      <c r="D120" s="438"/>
      <c r="E120" s="433" t="s">
        <v>281</v>
      </c>
      <c r="F120" s="445">
        <v>2354</v>
      </c>
      <c r="G120" s="446">
        <v>0</v>
      </c>
      <c r="H120" s="447">
        <v>0</v>
      </c>
      <c r="I120" s="446">
        <v>0</v>
      </c>
      <c r="J120" s="449">
        <v>0</v>
      </c>
      <c r="K120" s="445">
        <v>2354</v>
      </c>
      <c r="L120" s="446">
        <v>0</v>
      </c>
      <c r="M120" s="447">
        <v>0</v>
      </c>
      <c r="N120" s="446">
        <v>0</v>
      </c>
      <c r="O120" s="449">
        <v>0</v>
      </c>
      <c r="P120" s="445">
        <v>2354</v>
      </c>
      <c r="Q120" s="446">
        <v>0</v>
      </c>
      <c r="R120" s="447">
        <v>0</v>
      </c>
      <c r="S120" s="446">
        <v>0</v>
      </c>
      <c r="T120" s="449">
        <v>0</v>
      </c>
      <c r="U120" s="448">
        <v>2354</v>
      </c>
      <c r="V120" s="446">
        <v>0</v>
      </c>
      <c r="W120" s="447">
        <v>1</v>
      </c>
      <c r="X120" s="446">
        <v>0</v>
      </c>
      <c r="Y120" s="447">
        <v>1</v>
      </c>
      <c r="Z120" s="445">
        <v>2354</v>
      </c>
      <c r="AA120" s="446">
        <v>0</v>
      </c>
      <c r="AB120" s="447">
        <v>1</v>
      </c>
      <c r="AC120" s="446">
        <v>0</v>
      </c>
      <c r="AD120" s="447">
        <v>1</v>
      </c>
      <c r="AE120" s="445">
        <v>2354</v>
      </c>
    </row>
    <row r="121" spans="2:31" ht="12.75">
      <c r="B121" s="431"/>
      <c r="C121" s="433"/>
      <c r="D121" s="438"/>
      <c r="E121" s="463" t="s">
        <v>144</v>
      </c>
      <c r="F121" s="445">
        <v>4708</v>
      </c>
      <c r="G121" s="446">
        <v>0</v>
      </c>
      <c r="H121" s="447">
        <v>0</v>
      </c>
      <c r="I121" s="446">
        <v>0</v>
      </c>
      <c r="J121" s="449">
        <v>0</v>
      </c>
      <c r="K121" s="445">
        <v>4708</v>
      </c>
      <c r="L121" s="446">
        <v>0</v>
      </c>
      <c r="M121" s="447">
        <v>0</v>
      </c>
      <c r="N121" s="446">
        <v>0</v>
      </c>
      <c r="O121" s="449">
        <v>0</v>
      </c>
      <c r="P121" s="445">
        <v>4708</v>
      </c>
      <c r="Q121" s="446">
        <v>0</v>
      </c>
      <c r="R121" s="447">
        <v>0</v>
      </c>
      <c r="S121" s="446">
        <v>0</v>
      </c>
      <c r="T121" s="449">
        <v>0</v>
      </c>
      <c r="U121" s="448">
        <v>4708</v>
      </c>
      <c r="V121" s="446">
        <v>0</v>
      </c>
      <c r="W121" s="447">
        <v>0</v>
      </c>
      <c r="X121" s="446">
        <v>0</v>
      </c>
      <c r="Y121" s="447">
        <v>0</v>
      </c>
      <c r="Z121" s="445">
        <v>4708</v>
      </c>
      <c r="AA121" s="446">
        <v>0</v>
      </c>
      <c r="AB121" s="447">
        <v>0</v>
      </c>
      <c r="AC121" s="446">
        <v>0</v>
      </c>
      <c r="AD121" s="447">
        <v>0</v>
      </c>
      <c r="AE121" s="445">
        <v>4708</v>
      </c>
    </row>
    <row r="122" spans="2:31" ht="12.75">
      <c r="B122" s="431"/>
      <c r="C122" s="433"/>
      <c r="D122" s="433"/>
      <c r="E122" s="433"/>
      <c r="F122" s="450"/>
      <c r="G122" s="451"/>
      <c r="H122" s="452"/>
      <c r="I122" s="451"/>
      <c r="J122" s="453"/>
      <c r="K122" s="450"/>
      <c r="L122" s="451"/>
      <c r="M122" s="452"/>
      <c r="N122" s="451"/>
      <c r="O122" s="453"/>
      <c r="P122" s="450"/>
      <c r="Q122" s="451"/>
      <c r="R122" s="452"/>
      <c r="S122" s="451"/>
      <c r="T122" s="453"/>
      <c r="U122" s="454"/>
      <c r="V122" s="451"/>
      <c r="W122" s="452"/>
      <c r="X122" s="451"/>
      <c r="Y122" s="452"/>
      <c r="Z122" s="450"/>
      <c r="AA122" s="451"/>
      <c r="AB122" s="452"/>
      <c r="AC122" s="451"/>
      <c r="AD122" s="452"/>
      <c r="AE122" s="450"/>
    </row>
    <row r="123" spans="2:31" ht="12.75">
      <c r="B123" s="431"/>
      <c r="C123" s="433"/>
      <c r="D123" s="438" t="s">
        <v>455</v>
      </c>
      <c r="E123" s="433"/>
      <c r="F123" s="450"/>
      <c r="G123" s="451"/>
      <c r="H123" s="452"/>
      <c r="I123" s="451"/>
      <c r="J123" s="453"/>
      <c r="K123" s="450"/>
      <c r="L123" s="451"/>
      <c r="M123" s="452"/>
      <c r="N123" s="451"/>
      <c r="O123" s="453"/>
      <c r="P123" s="450"/>
      <c r="Q123" s="451"/>
      <c r="R123" s="452"/>
      <c r="S123" s="451"/>
      <c r="T123" s="453"/>
      <c r="U123" s="454"/>
      <c r="V123" s="451"/>
      <c r="W123" s="452"/>
      <c r="X123" s="451"/>
      <c r="Y123" s="452"/>
      <c r="Z123" s="450"/>
      <c r="AA123" s="451"/>
      <c r="AB123" s="452"/>
      <c r="AC123" s="451"/>
      <c r="AD123" s="452"/>
      <c r="AE123" s="450"/>
    </row>
    <row r="124" spans="2:31" ht="12.75">
      <c r="B124" s="431"/>
      <c r="C124" s="433"/>
      <c r="D124" s="433"/>
      <c r="E124" s="433" t="s">
        <v>394</v>
      </c>
      <c r="F124" s="445">
        <v>35</v>
      </c>
      <c r="G124" s="446">
        <v>0</v>
      </c>
      <c r="H124" s="447">
        <v>0</v>
      </c>
      <c r="I124" s="446">
        <v>0</v>
      </c>
      <c r="J124" s="449">
        <v>0</v>
      </c>
      <c r="K124" s="445">
        <v>35</v>
      </c>
      <c r="L124" s="446">
        <v>0</v>
      </c>
      <c r="M124" s="447">
        <v>0</v>
      </c>
      <c r="N124" s="446">
        <v>0.4</v>
      </c>
      <c r="O124" s="449">
        <v>0</v>
      </c>
      <c r="P124" s="445">
        <v>35.4</v>
      </c>
      <c r="Q124" s="446">
        <v>0</v>
      </c>
      <c r="R124" s="447">
        <v>0</v>
      </c>
      <c r="S124" s="446">
        <v>0</v>
      </c>
      <c r="T124" s="449">
        <v>0</v>
      </c>
      <c r="U124" s="448">
        <v>35.4</v>
      </c>
      <c r="V124" s="446">
        <v>0</v>
      </c>
      <c r="W124" s="447">
        <v>0</v>
      </c>
      <c r="X124" s="446">
        <v>0</v>
      </c>
      <c r="Y124" s="447">
        <v>0</v>
      </c>
      <c r="Z124" s="445">
        <v>35.4</v>
      </c>
      <c r="AA124" s="446">
        <v>0</v>
      </c>
      <c r="AB124" s="447">
        <v>0</v>
      </c>
      <c r="AC124" s="446">
        <v>0</v>
      </c>
      <c r="AD124" s="447">
        <v>0</v>
      </c>
      <c r="AE124" s="445">
        <v>35.4</v>
      </c>
    </row>
    <row r="125" spans="2:31" ht="12.75">
      <c r="B125" s="431"/>
      <c r="C125" s="433"/>
      <c r="D125" s="433"/>
      <c r="E125" s="433" t="s">
        <v>393</v>
      </c>
      <c r="F125" s="445">
        <v>58</v>
      </c>
      <c r="G125" s="446">
        <v>0</v>
      </c>
      <c r="H125" s="447">
        <v>0</v>
      </c>
      <c r="I125" s="446">
        <v>0</v>
      </c>
      <c r="J125" s="449">
        <v>0</v>
      </c>
      <c r="K125" s="445">
        <v>58</v>
      </c>
      <c r="L125" s="446">
        <v>0</v>
      </c>
      <c r="M125" s="447">
        <v>0</v>
      </c>
      <c r="N125" s="446">
        <v>0</v>
      </c>
      <c r="O125" s="449">
        <v>0</v>
      </c>
      <c r="P125" s="445">
        <v>58</v>
      </c>
      <c r="Q125" s="446">
        <v>0</v>
      </c>
      <c r="R125" s="447">
        <v>0</v>
      </c>
      <c r="S125" s="446">
        <v>0</v>
      </c>
      <c r="T125" s="449">
        <v>0</v>
      </c>
      <c r="U125" s="448">
        <v>58</v>
      </c>
      <c r="V125" s="446">
        <v>0</v>
      </c>
      <c r="W125" s="447">
        <v>0.1</v>
      </c>
      <c r="X125" s="446">
        <v>0</v>
      </c>
      <c r="Y125" s="447">
        <v>0.1</v>
      </c>
      <c r="Z125" s="445">
        <v>58</v>
      </c>
      <c r="AA125" s="446">
        <v>0</v>
      </c>
      <c r="AB125" s="447">
        <v>0.1</v>
      </c>
      <c r="AC125" s="446">
        <v>0</v>
      </c>
      <c r="AD125" s="447">
        <v>0.1</v>
      </c>
      <c r="AE125" s="445">
        <v>58</v>
      </c>
    </row>
    <row r="126" spans="2:31" ht="12.75">
      <c r="B126" s="431"/>
      <c r="C126" s="433"/>
      <c r="D126" s="433"/>
      <c r="E126" s="433" t="s">
        <v>357</v>
      </c>
      <c r="F126" s="445">
        <v>0</v>
      </c>
      <c r="G126" s="446">
        <v>0</v>
      </c>
      <c r="H126" s="447">
        <v>0</v>
      </c>
      <c r="I126" s="446">
        <v>0</v>
      </c>
      <c r="J126" s="449">
        <v>0</v>
      </c>
      <c r="K126" s="445">
        <v>0</v>
      </c>
      <c r="L126" s="446">
        <v>0</v>
      </c>
      <c r="M126" s="447">
        <v>0</v>
      </c>
      <c r="N126" s="446">
        <v>0</v>
      </c>
      <c r="O126" s="449">
        <v>0</v>
      </c>
      <c r="P126" s="445">
        <v>0</v>
      </c>
      <c r="Q126" s="446">
        <v>0</v>
      </c>
      <c r="R126" s="447">
        <v>0</v>
      </c>
      <c r="S126" s="446">
        <v>0</v>
      </c>
      <c r="T126" s="449">
        <v>0</v>
      </c>
      <c r="U126" s="448">
        <v>0</v>
      </c>
      <c r="V126" s="446">
        <v>0</v>
      </c>
      <c r="W126" s="447">
        <v>0</v>
      </c>
      <c r="X126" s="446">
        <v>0</v>
      </c>
      <c r="Y126" s="447">
        <v>0</v>
      </c>
      <c r="Z126" s="445">
        <v>0</v>
      </c>
      <c r="AA126" s="446">
        <v>0</v>
      </c>
      <c r="AB126" s="447">
        <v>0</v>
      </c>
      <c r="AC126" s="446">
        <v>0</v>
      </c>
      <c r="AD126" s="447">
        <v>0</v>
      </c>
      <c r="AE126" s="445">
        <v>0</v>
      </c>
    </row>
    <row r="127" spans="2:31" ht="12.75">
      <c r="B127" s="431"/>
      <c r="C127" s="433"/>
      <c r="D127" s="433"/>
      <c r="E127" s="433"/>
      <c r="F127" s="450"/>
      <c r="G127" s="451"/>
      <c r="H127" s="452"/>
      <c r="I127" s="451"/>
      <c r="J127" s="453"/>
      <c r="K127" s="450"/>
      <c r="L127" s="451"/>
      <c r="M127" s="452"/>
      <c r="N127" s="451"/>
      <c r="O127" s="453"/>
      <c r="P127" s="450"/>
      <c r="Q127" s="451"/>
      <c r="R127" s="452"/>
      <c r="S127" s="451"/>
      <c r="T127" s="453"/>
      <c r="U127" s="454"/>
      <c r="V127" s="451"/>
      <c r="W127" s="452"/>
      <c r="X127" s="451"/>
      <c r="Y127" s="452"/>
      <c r="Z127" s="450"/>
      <c r="AA127" s="451"/>
      <c r="AB127" s="452"/>
      <c r="AC127" s="451"/>
      <c r="AD127" s="452"/>
      <c r="AE127" s="450"/>
    </row>
    <row r="128" spans="2:31" ht="12.75">
      <c r="B128" s="431"/>
      <c r="C128" s="433"/>
      <c r="D128" s="438" t="s">
        <v>597</v>
      </c>
      <c r="E128" s="433"/>
      <c r="F128" s="450"/>
      <c r="G128" s="451"/>
      <c r="H128" s="452"/>
      <c r="I128" s="451"/>
      <c r="J128" s="453"/>
      <c r="K128" s="450"/>
      <c r="L128" s="451"/>
      <c r="M128" s="452"/>
      <c r="N128" s="451"/>
      <c r="O128" s="453"/>
      <c r="P128" s="450"/>
      <c r="Q128" s="451"/>
      <c r="R128" s="452"/>
      <c r="S128" s="451"/>
      <c r="T128" s="453"/>
      <c r="U128" s="454"/>
      <c r="V128" s="451"/>
      <c r="W128" s="452"/>
      <c r="X128" s="451"/>
      <c r="Y128" s="452"/>
      <c r="Z128" s="450"/>
      <c r="AA128" s="451"/>
      <c r="AB128" s="452"/>
      <c r="AC128" s="451"/>
      <c r="AD128" s="452"/>
      <c r="AE128" s="450"/>
    </row>
    <row r="129" spans="2:31" ht="12.75">
      <c r="B129" s="431"/>
      <c r="C129" s="433"/>
      <c r="D129" s="433"/>
      <c r="E129" s="463" t="s">
        <v>358</v>
      </c>
      <c r="F129" s="445">
        <v>0</v>
      </c>
      <c r="G129" s="446">
        <v>0</v>
      </c>
      <c r="H129" s="447">
        <v>0</v>
      </c>
      <c r="I129" s="446">
        <v>0</v>
      </c>
      <c r="J129" s="449">
        <v>0</v>
      </c>
      <c r="K129" s="445">
        <v>0</v>
      </c>
      <c r="L129" s="446">
        <v>0</v>
      </c>
      <c r="M129" s="447">
        <v>0</v>
      </c>
      <c r="N129" s="446">
        <v>0</v>
      </c>
      <c r="O129" s="449">
        <v>0</v>
      </c>
      <c r="P129" s="445">
        <v>0</v>
      </c>
      <c r="Q129" s="446">
        <v>0</v>
      </c>
      <c r="R129" s="447">
        <v>0</v>
      </c>
      <c r="S129" s="446">
        <v>0</v>
      </c>
      <c r="T129" s="449">
        <v>0</v>
      </c>
      <c r="U129" s="448">
        <v>0</v>
      </c>
      <c r="V129" s="446">
        <v>0</v>
      </c>
      <c r="W129" s="447">
        <v>0</v>
      </c>
      <c r="X129" s="446">
        <v>0</v>
      </c>
      <c r="Y129" s="447">
        <v>0</v>
      </c>
      <c r="Z129" s="445">
        <v>0</v>
      </c>
      <c r="AA129" s="446">
        <v>0</v>
      </c>
      <c r="AB129" s="447">
        <v>0</v>
      </c>
      <c r="AC129" s="446">
        <v>0</v>
      </c>
      <c r="AD129" s="447">
        <v>0</v>
      </c>
      <c r="AE129" s="445">
        <v>0</v>
      </c>
    </row>
    <row r="130" spans="2:31" ht="12.75">
      <c r="B130" s="431"/>
      <c r="C130" s="433"/>
      <c r="D130" s="433"/>
      <c r="E130" s="433"/>
      <c r="F130" s="450"/>
      <c r="G130" s="451"/>
      <c r="H130" s="452"/>
      <c r="I130" s="451"/>
      <c r="J130" s="453"/>
      <c r="K130" s="450"/>
      <c r="L130" s="451"/>
      <c r="M130" s="452"/>
      <c r="N130" s="451"/>
      <c r="O130" s="453"/>
      <c r="P130" s="450"/>
      <c r="Q130" s="451"/>
      <c r="R130" s="452"/>
      <c r="S130" s="451"/>
      <c r="T130" s="453"/>
      <c r="U130" s="454"/>
      <c r="V130" s="451"/>
      <c r="W130" s="452"/>
      <c r="X130" s="451"/>
      <c r="Y130" s="452"/>
      <c r="Z130" s="450"/>
      <c r="AA130" s="451"/>
      <c r="AB130" s="452"/>
      <c r="AC130" s="451"/>
      <c r="AD130" s="452"/>
      <c r="AE130" s="450"/>
    </row>
    <row r="131" spans="2:31" ht="12.75">
      <c r="B131" s="431"/>
      <c r="C131" s="433"/>
      <c r="D131" s="438" t="s">
        <v>320</v>
      </c>
      <c r="E131" s="433"/>
      <c r="F131" s="450"/>
      <c r="G131" s="451"/>
      <c r="H131" s="452"/>
      <c r="I131" s="451"/>
      <c r="J131" s="453"/>
      <c r="K131" s="450"/>
      <c r="L131" s="451"/>
      <c r="M131" s="452"/>
      <c r="N131" s="451"/>
      <c r="O131" s="453"/>
      <c r="P131" s="450"/>
      <c r="Q131" s="451"/>
      <c r="R131" s="452"/>
      <c r="S131" s="451"/>
      <c r="T131" s="453"/>
      <c r="U131" s="454"/>
      <c r="V131" s="451"/>
      <c r="W131" s="452"/>
      <c r="X131" s="451"/>
      <c r="Y131" s="452"/>
      <c r="Z131" s="450"/>
      <c r="AA131" s="451"/>
      <c r="AB131" s="452"/>
      <c r="AC131" s="451"/>
      <c r="AD131" s="452"/>
      <c r="AE131" s="450"/>
    </row>
    <row r="132" spans="2:31" ht="12.75">
      <c r="B132" s="431"/>
      <c r="C132" s="433"/>
      <c r="D132" s="433"/>
      <c r="E132" s="433" t="s">
        <v>359</v>
      </c>
      <c r="F132" s="445">
        <v>214</v>
      </c>
      <c r="G132" s="446">
        <v>2</v>
      </c>
      <c r="H132" s="447">
        <v>1</v>
      </c>
      <c r="I132" s="446">
        <v>2</v>
      </c>
      <c r="J132" s="449">
        <v>1</v>
      </c>
      <c r="K132" s="445">
        <v>214</v>
      </c>
      <c r="L132" s="446">
        <v>0</v>
      </c>
      <c r="M132" s="447">
        <v>0</v>
      </c>
      <c r="N132" s="446">
        <v>2</v>
      </c>
      <c r="O132" s="449">
        <v>1</v>
      </c>
      <c r="P132" s="445">
        <v>217</v>
      </c>
      <c r="Q132" s="446">
        <v>0</v>
      </c>
      <c r="R132" s="447">
        <v>0</v>
      </c>
      <c r="S132" s="446">
        <v>3</v>
      </c>
      <c r="T132" s="449">
        <v>2</v>
      </c>
      <c r="U132" s="448">
        <v>222</v>
      </c>
      <c r="V132" s="446">
        <v>0</v>
      </c>
      <c r="W132" s="447">
        <v>2</v>
      </c>
      <c r="X132" s="446">
        <v>0</v>
      </c>
      <c r="Y132" s="447">
        <v>2</v>
      </c>
      <c r="Z132" s="445">
        <v>222</v>
      </c>
      <c r="AA132" s="446">
        <v>0</v>
      </c>
      <c r="AB132" s="447">
        <v>2</v>
      </c>
      <c r="AC132" s="446">
        <v>0</v>
      </c>
      <c r="AD132" s="447">
        <v>2</v>
      </c>
      <c r="AE132" s="445">
        <v>222</v>
      </c>
    </row>
    <row r="133" spans="2:31" ht="12.75">
      <c r="B133" s="431"/>
      <c r="C133" s="433"/>
      <c r="D133" s="433"/>
      <c r="E133" s="433" t="s">
        <v>360</v>
      </c>
      <c r="F133" s="445">
        <v>730</v>
      </c>
      <c r="G133" s="446">
        <v>0</v>
      </c>
      <c r="H133" s="447">
        <v>0</v>
      </c>
      <c r="I133" s="446">
        <v>0</v>
      </c>
      <c r="J133" s="449">
        <v>0</v>
      </c>
      <c r="K133" s="445">
        <v>730</v>
      </c>
      <c r="L133" s="446">
        <v>7</v>
      </c>
      <c r="M133" s="447">
        <v>4</v>
      </c>
      <c r="N133" s="446">
        <v>0</v>
      </c>
      <c r="O133" s="449">
        <v>4</v>
      </c>
      <c r="P133" s="445">
        <v>723</v>
      </c>
      <c r="Q133" s="446">
        <v>0</v>
      </c>
      <c r="R133" s="447">
        <v>0</v>
      </c>
      <c r="S133" s="446">
        <v>2</v>
      </c>
      <c r="T133" s="449">
        <v>2</v>
      </c>
      <c r="U133" s="448">
        <v>727</v>
      </c>
      <c r="V133" s="446">
        <v>0</v>
      </c>
      <c r="W133" s="447">
        <v>0</v>
      </c>
      <c r="X133" s="446">
        <v>0</v>
      </c>
      <c r="Y133" s="447">
        <v>0</v>
      </c>
      <c r="Z133" s="445">
        <v>727</v>
      </c>
      <c r="AA133" s="446">
        <v>0</v>
      </c>
      <c r="AB133" s="447">
        <v>0</v>
      </c>
      <c r="AC133" s="446">
        <v>0</v>
      </c>
      <c r="AD133" s="447">
        <v>0</v>
      </c>
      <c r="AE133" s="445">
        <v>727</v>
      </c>
    </row>
    <row r="134" spans="2:31" ht="12.75">
      <c r="B134" s="431"/>
      <c r="C134" s="433"/>
      <c r="D134" s="433"/>
      <c r="E134" s="433"/>
      <c r="F134" s="450"/>
      <c r="G134" s="451"/>
      <c r="H134" s="452"/>
      <c r="I134" s="451"/>
      <c r="J134" s="453"/>
      <c r="K134" s="450"/>
      <c r="L134" s="451"/>
      <c r="M134" s="452"/>
      <c r="N134" s="451"/>
      <c r="O134" s="453"/>
      <c r="P134" s="450"/>
      <c r="Q134" s="451"/>
      <c r="R134" s="452"/>
      <c r="S134" s="451"/>
      <c r="T134" s="453"/>
      <c r="U134" s="454"/>
      <c r="V134" s="451"/>
      <c r="W134" s="452"/>
      <c r="X134" s="451"/>
      <c r="Y134" s="452"/>
      <c r="Z134" s="450"/>
      <c r="AA134" s="451"/>
      <c r="AB134" s="452"/>
      <c r="AC134" s="451"/>
      <c r="AD134" s="452"/>
      <c r="AE134" s="450"/>
    </row>
    <row r="135" spans="2:31" ht="12.75">
      <c r="B135" s="431"/>
      <c r="C135" s="433"/>
      <c r="D135" s="438" t="s">
        <v>227</v>
      </c>
      <c r="E135" s="433"/>
      <c r="F135" s="450"/>
      <c r="G135" s="451"/>
      <c r="H135" s="452"/>
      <c r="I135" s="451"/>
      <c r="J135" s="453"/>
      <c r="K135" s="450"/>
      <c r="L135" s="451"/>
      <c r="M135" s="452"/>
      <c r="N135" s="451"/>
      <c r="O135" s="453"/>
      <c r="P135" s="450"/>
      <c r="Q135" s="451"/>
      <c r="R135" s="452"/>
      <c r="S135" s="451"/>
      <c r="T135" s="453"/>
      <c r="U135" s="454"/>
      <c r="V135" s="451"/>
      <c r="W135" s="452"/>
      <c r="X135" s="451"/>
      <c r="Y135" s="452"/>
      <c r="Z135" s="450"/>
      <c r="AA135" s="451"/>
      <c r="AB135" s="452"/>
      <c r="AC135" s="451"/>
      <c r="AD135" s="452"/>
      <c r="AE135" s="450"/>
    </row>
    <row r="136" spans="2:31" ht="12.75">
      <c r="B136" s="431"/>
      <c r="C136" s="433"/>
      <c r="D136" s="433"/>
      <c r="E136" s="463" t="s">
        <v>361</v>
      </c>
      <c r="F136" s="445">
        <v>128</v>
      </c>
      <c r="G136" s="446">
        <v>0</v>
      </c>
      <c r="H136" s="447">
        <v>0</v>
      </c>
      <c r="I136" s="446">
        <v>0</v>
      </c>
      <c r="J136" s="449">
        <v>0</v>
      </c>
      <c r="K136" s="445">
        <v>128</v>
      </c>
      <c r="L136" s="446">
        <v>1</v>
      </c>
      <c r="M136" s="447">
        <v>0</v>
      </c>
      <c r="N136" s="446">
        <v>2</v>
      </c>
      <c r="O136" s="449">
        <v>0</v>
      </c>
      <c r="P136" s="445">
        <v>129</v>
      </c>
      <c r="Q136" s="446">
        <v>3</v>
      </c>
      <c r="R136" s="447">
        <v>4</v>
      </c>
      <c r="S136" s="446">
        <v>2</v>
      </c>
      <c r="T136" s="449">
        <v>4</v>
      </c>
      <c r="U136" s="448">
        <v>128</v>
      </c>
      <c r="V136" s="446">
        <v>1</v>
      </c>
      <c r="W136" s="447">
        <v>2</v>
      </c>
      <c r="X136" s="446">
        <v>1</v>
      </c>
      <c r="Y136" s="447">
        <v>2</v>
      </c>
      <c r="Z136" s="445">
        <v>128</v>
      </c>
      <c r="AA136" s="446">
        <v>0</v>
      </c>
      <c r="AB136" s="447">
        <v>2</v>
      </c>
      <c r="AC136" s="446">
        <v>3</v>
      </c>
      <c r="AD136" s="447">
        <v>2</v>
      </c>
      <c r="AE136" s="445">
        <v>131</v>
      </c>
    </row>
    <row r="137" spans="2:31" ht="12.75">
      <c r="B137" s="431"/>
      <c r="C137" s="433"/>
      <c r="D137" s="433"/>
      <c r="E137" s="463" t="s">
        <v>362</v>
      </c>
      <c r="F137" s="445">
        <v>133</v>
      </c>
      <c r="G137" s="446">
        <v>0</v>
      </c>
      <c r="H137" s="447">
        <v>0</v>
      </c>
      <c r="I137" s="446">
        <v>0</v>
      </c>
      <c r="J137" s="449">
        <v>0</v>
      </c>
      <c r="K137" s="445">
        <v>133</v>
      </c>
      <c r="L137" s="446">
        <v>1</v>
      </c>
      <c r="M137" s="447">
        <v>0</v>
      </c>
      <c r="N137" s="446">
        <v>2</v>
      </c>
      <c r="O137" s="449">
        <v>0</v>
      </c>
      <c r="P137" s="445">
        <v>134</v>
      </c>
      <c r="Q137" s="446">
        <v>0</v>
      </c>
      <c r="R137" s="447">
        <v>0</v>
      </c>
      <c r="S137" s="446">
        <v>0</v>
      </c>
      <c r="T137" s="449">
        <v>4</v>
      </c>
      <c r="U137" s="448">
        <v>138</v>
      </c>
      <c r="V137" s="446">
        <v>0</v>
      </c>
      <c r="W137" s="447">
        <v>0</v>
      </c>
      <c r="X137" s="446">
        <v>0</v>
      </c>
      <c r="Y137" s="447">
        <v>0</v>
      </c>
      <c r="Z137" s="445">
        <v>138</v>
      </c>
      <c r="AA137" s="446">
        <v>0</v>
      </c>
      <c r="AB137" s="447">
        <v>0</v>
      </c>
      <c r="AC137" s="446">
        <v>2</v>
      </c>
      <c r="AD137" s="447">
        <v>0</v>
      </c>
      <c r="AE137" s="445">
        <v>140</v>
      </c>
    </row>
    <row r="138" spans="2:31" ht="13.5" thickBot="1">
      <c r="B138" s="421"/>
      <c r="C138" s="422"/>
      <c r="D138" s="422"/>
      <c r="E138" s="422"/>
      <c r="F138" s="455"/>
      <c r="G138" s="456"/>
      <c r="H138" s="457"/>
      <c r="I138" s="456"/>
      <c r="J138" s="458"/>
      <c r="K138" s="459"/>
      <c r="L138" s="456"/>
      <c r="M138" s="457"/>
      <c r="N138" s="456"/>
      <c r="O138" s="458"/>
      <c r="P138" s="459"/>
      <c r="Q138" s="456"/>
      <c r="R138" s="457"/>
      <c r="S138" s="456"/>
      <c r="T138" s="458"/>
      <c r="U138" s="460"/>
      <c r="V138" s="456"/>
      <c r="W138" s="457"/>
      <c r="X138" s="456"/>
      <c r="Y138" s="457"/>
      <c r="Z138" s="459"/>
      <c r="AA138" s="456"/>
      <c r="AB138" s="457"/>
      <c r="AC138" s="456"/>
      <c r="AD138" s="457"/>
      <c r="AE138" s="459"/>
    </row>
    <row r="139" spans="2:31" ht="12.75">
      <c r="B139" s="461"/>
      <c r="C139" s="462" t="s">
        <v>367</v>
      </c>
      <c r="D139" s="462"/>
      <c r="E139" s="463"/>
      <c r="F139" s="450"/>
      <c r="G139" s="451"/>
      <c r="H139" s="452"/>
      <c r="I139" s="451"/>
      <c r="J139" s="453"/>
      <c r="K139" s="450"/>
      <c r="L139" s="451"/>
      <c r="M139" s="452"/>
      <c r="N139" s="451"/>
      <c r="O139" s="453"/>
      <c r="P139" s="450"/>
      <c r="Q139" s="451"/>
      <c r="R139" s="452"/>
      <c r="S139" s="451"/>
      <c r="T139" s="453"/>
      <c r="U139" s="454"/>
      <c r="V139" s="451"/>
      <c r="W139" s="452"/>
      <c r="X139" s="451"/>
      <c r="Y139" s="452"/>
      <c r="Z139" s="450"/>
      <c r="AA139" s="451"/>
      <c r="AB139" s="452"/>
      <c r="AC139" s="451"/>
      <c r="AD139" s="452"/>
      <c r="AE139" s="450"/>
    </row>
    <row r="140" spans="2:31" ht="12.75">
      <c r="B140" s="431"/>
      <c r="C140" s="433"/>
      <c r="D140" s="438" t="s">
        <v>368</v>
      </c>
      <c r="E140" s="433"/>
      <c r="F140" s="450"/>
      <c r="G140" s="451"/>
      <c r="H140" s="452"/>
      <c r="I140" s="451"/>
      <c r="J140" s="453"/>
      <c r="K140" s="450"/>
      <c r="L140" s="451"/>
      <c r="M140" s="452"/>
      <c r="N140" s="451"/>
      <c r="O140" s="453"/>
      <c r="P140" s="450"/>
      <c r="Q140" s="451"/>
      <c r="R140" s="452"/>
      <c r="S140" s="451"/>
      <c r="T140" s="453"/>
      <c r="U140" s="454"/>
      <c r="V140" s="451"/>
      <c r="W140" s="452"/>
      <c r="X140" s="451"/>
      <c r="Y140" s="452"/>
      <c r="Z140" s="450"/>
      <c r="AA140" s="451"/>
      <c r="AB140" s="452"/>
      <c r="AC140" s="451"/>
      <c r="AD140" s="452"/>
      <c r="AE140" s="450"/>
    </row>
    <row r="141" spans="2:31" ht="12.75">
      <c r="B141" s="431"/>
      <c r="C141" s="433"/>
      <c r="D141" s="433"/>
      <c r="E141" s="463" t="s">
        <v>369</v>
      </c>
      <c r="F141" s="445">
        <v>0</v>
      </c>
      <c r="G141" s="446">
        <v>0</v>
      </c>
      <c r="H141" s="447">
        <v>0</v>
      </c>
      <c r="I141" s="446">
        <v>0</v>
      </c>
      <c r="J141" s="449">
        <v>0</v>
      </c>
      <c r="K141" s="445">
        <v>0</v>
      </c>
      <c r="L141" s="446">
        <v>0</v>
      </c>
      <c r="M141" s="447">
        <v>0</v>
      </c>
      <c r="N141" s="446">
        <v>0</v>
      </c>
      <c r="O141" s="449">
        <v>0</v>
      </c>
      <c r="P141" s="445">
        <v>0</v>
      </c>
      <c r="Q141" s="446">
        <v>0</v>
      </c>
      <c r="R141" s="447">
        <v>0</v>
      </c>
      <c r="S141" s="446">
        <v>0</v>
      </c>
      <c r="T141" s="449">
        <v>0</v>
      </c>
      <c r="U141" s="448">
        <v>0</v>
      </c>
      <c r="V141" s="446">
        <v>0</v>
      </c>
      <c r="W141" s="447">
        <v>0</v>
      </c>
      <c r="X141" s="446">
        <v>0</v>
      </c>
      <c r="Y141" s="447">
        <v>0</v>
      </c>
      <c r="Z141" s="445">
        <v>0</v>
      </c>
      <c r="AA141" s="446">
        <v>0</v>
      </c>
      <c r="AB141" s="447">
        <v>0</v>
      </c>
      <c r="AC141" s="446">
        <v>1</v>
      </c>
      <c r="AD141" s="447">
        <v>0</v>
      </c>
      <c r="AE141" s="445">
        <v>1</v>
      </c>
    </row>
    <row r="142" spans="2:31" ht="12.75">
      <c r="B142" s="431"/>
      <c r="C142" s="433"/>
      <c r="D142" s="433"/>
      <c r="E142" s="463" t="s">
        <v>495</v>
      </c>
      <c r="F142" s="445">
        <v>272</v>
      </c>
      <c r="G142" s="446">
        <v>0</v>
      </c>
      <c r="H142" s="447">
        <v>0</v>
      </c>
      <c r="I142" s="446">
        <v>0</v>
      </c>
      <c r="J142" s="449">
        <v>0</v>
      </c>
      <c r="K142" s="445">
        <v>272</v>
      </c>
      <c r="L142" s="446">
        <v>0</v>
      </c>
      <c r="M142" s="447">
        <v>0</v>
      </c>
      <c r="N142" s="446">
        <v>0</v>
      </c>
      <c r="O142" s="449">
        <v>0</v>
      </c>
      <c r="P142" s="445">
        <v>272</v>
      </c>
      <c r="Q142" s="446">
        <v>0</v>
      </c>
      <c r="R142" s="447">
        <v>0</v>
      </c>
      <c r="S142" s="446">
        <v>0</v>
      </c>
      <c r="T142" s="449">
        <v>0</v>
      </c>
      <c r="U142" s="448">
        <v>272</v>
      </c>
      <c r="V142" s="446">
        <v>0</v>
      </c>
      <c r="W142" s="447">
        <v>0</v>
      </c>
      <c r="X142" s="446">
        <v>0</v>
      </c>
      <c r="Y142" s="447">
        <v>0</v>
      </c>
      <c r="Z142" s="445">
        <v>272</v>
      </c>
      <c r="AA142" s="446">
        <v>0</v>
      </c>
      <c r="AB142" s="447">
        <v>0</v>
      </c>
      <c r="AC142" s="446">
        <v>0</v>
      </c>
      <c r="AD142" s="447">
        <v>0</v>
      </c>
      <c r="AE142" s="445">
        <v>272</v>
      </c>
    </row>
    <row r="143" spans="2:31" ht="12.75">
      <c r="B143" s="431"/>
      <c r="C143" s="463"/>
      <c r="D143" s="438"/>
      <c r="E143" s="433"/>
      <c r="F143" s="450"/>
      <c r="G143" s="451"/>
      <c r="H143" s="452"/>
      <c r="I143" s="451"/>
      <c r="J143" s="453"/>
      <c r="K143" s="450"/>
      <c r="L143" s="451"/>
      <c r="M143" s="452"/>
      <c r="N143" s="451"/>
      <c r="O143" s="453"/>
      <c r="P143" s="450"/>
      <c r="Q143" s="451"/>
      <c r="R143" s="452"/>
      <c r="S143" s="451"/>
      <c r="T143" s="453"/>
      <c r="U143" s="454"/>
      <c r="V143" s="451"/>
      <c r="W143" s="452"/>
      <c r="X143" s="451"/>
      <c r="Y143" s="452"/>
      <c r="Z143" s="450"/>
      <c r="AA143" s="451"/>
      <c r="AB143" s="452"/>
      <c r="AC143" s="451"/>
      <c r="AD143" s="452"/>
      <c r="AE143" s="450"/>
    </row>
    <row r="144" spans="2:31" ht="12.75">
      <c r="B144" s="431"/>
      <c r="C144" s="433"/>
      <c r="D144" s="438" t="s">
        <v>496</v>
      </c>
      <c r="E144" s="433"/>
      <c r="F144" s="450"/>
      <c r="G144" s="451"/>
      <c r="H144" s="452"/>
      <c r="I144" s="451"/>
      <c r="J144" s="453"/>
      <c r="K144" s="450"/>
      <c r="L144" s="451"/>
      <c r="M144" s="452"/>
      <c r="N144" s="451"/>
      <c r="O144" s="453"/>
      <c r="P144" s="450"/>
      <c r="Q144" s="451"/>
      <c r="R144" s="452"/>
      <c r="S144" s="451"/>
      <c r="T144" s="453"/>
      <c r="U144" s="454"/>
      <c r="V144" s="451"/>
      <c r="W144" s="452"/>
      <c r="X144" s="451"/>
      <c r="Y144" s="452"/>
      <c r="Z144" s="450"/>
      <c r="AA144" s="451"/>
      <c r="AB144" s="452"/>
      <c r="AC144" s="451"/>
      <c r="AD144" s="452"/>
      <c r="AE144" s="450"/>
    </row>
    <row r="145" spans="2:31" ht="12.75">
      <c r="B145" s="431"/>
      <c r="C145" s="433"/>
      <c r="D145" s="433"/>
      <c r="E145" s="463" t="s">
        <v>371</v>
      </c>
      <c r="F145" s="445">
        <v>1244</v>
      </c>
      <c r="G145" s="446">
        <v>0</v>
      </c>
      <c r="H145" s="447">
        <v>0</v>
      </c>
      <c r="I145" s="446">
        <v>0</v>
      </c>
      <c r="J145" s="449">
        <v>0</v>
      </c>
      <c r="K145" s="445">
        <v>1244</v>
      </c>
      <c r="L145" s="446">
        <v>0</v>
      </c>
      <c r="M145" s="447">
        <v>0</v>
      </c>
      <c r="N145" s="446">
        <v>0</v>
      </c>
      <c r="O145" s="449">
        <v>0</v>
      </c>
      <c r="P145" s="445">
        <v>1244</v>
      </c>
      <c r="Q145" s="446">
        <v>0</v>
      </c>
      <c r="R145" s="447">
        <v>0</v>
      </c>
      <c r="S145" s="446">
        <v>0</v>
      </c>
      <c r="T145" s="449">
        <v>0</v>
      </c>
      <c r="U145" s="448">
        <v>1244</v>
      </c>
      <c r="V145" s="446">
        <v>0</v>
      </c>
      <c r="W145" s="447">
        <v>0</v>
      </c>
      <c r="X145" s="446">
        <v>1</v>
      </c>
      <c r="Y145" s="447">
        <v>0</v>
      </c>
      <c r="Z145" s="445">
        <v>1245</v>
      </c>
      <c r="AA145" s="446">
        <v>0</v>
      </c>
      <c r="AB145" s="447">
        <v>0</v>
      </c>
      <c r="AC145" s="446">
        <v>1</v>
      </c>
      <c r="AD145" s="447">
        <v>0</v>
      </c>
      <c r="AE145" s="445">
        <v>1246</v>
      </c>
    </row>
    <row r="146" spans="2:31" ht="12.75">
      <c r="B146" s="431"/>
      <c r="C146" s="433"/>
      <c r="D146" s="433"/>
      <c r="E146" s="463" t="s">
        <v>372</v>
      </c>
      <c r="F146" s="445">
        <v>143</v>
      </c>
      <c r="G146" s="446">
        <v>0</v>
      </c>
      <c r="H146" s="447">
        <v>0</v>
      </c>
      <c r="I146" s="446">
        <v>0</v>
      </c>
      <c r="J146" s="449">
        <v>0</v>
      </c>
      <c r="K146" s="445">
        <v>143</v>
      </c>
      <c r="L146" s="446">
        <v>0</v>
      </c>
      <c r="M146" s="447">
        <v>0</v>
      </c>
      <c r="N146" s="446">
        <v>0</v>
      </c>
      <c r="O146" s="449">
        <v>0</v>
      </c>
      <c r="P146" s="445">
        <v>143</v>
      </c>
      <c r="Q146" s="446">
        <v>0</v>
      </c>
      <c r="R146" s="447">
        <v>0</v>
      </c>
      <c r="S146" s="446">
        <v>0</v>
      </c>
      <c r="T146" s="449">
        <v>0</v>
      </c>
      <c r="U146" s="448">
        <v>143</v>
      </c>
      <c r="V146" s="446">
        <v>0</v>
      </c>
      <c r="W146" s="447">
        <v>0</v>
      </c>
      <c r="X146" s="446">
        <v>0</v>
      </c>
      <c r="Y146" s="447">
        <v>0</v>
      </c>
      <c r="Z146" s="445">
        <v>143</v>
      </c>
      <c r="AA146" s="446">
        <v>0</v>
      </c>
      <c r="AB146" s="447">
        <v>0</v>
      </c>
      <c r="AC146" s="446">
        <v>0</v>
      </c>
      <c r="AD146" s="447">
        <v>0</v>
      </c>
      <c r="AE146" s="445">
        <v>143</v>
      </c>
    </row>
    <row r="147" spans="2:31" ht="13.5" thickBot="1">
      <c r="B147" s="421"/>
      <c r="C147" s="422"/>
      <c r="D147" s="422"/>
      <c r="E147" s="422"/>
      <c r="F147" s="455"/>
      <c r="G147" s="456"/>
      <c r="H147" s="457"/>
      <c r="I147" s="456"/>
      <c r="J147" s="458"/>
      <c r="K147" s="459"/>
      <c r="L147" s="456"/>
      <c r="M147" s="457"/>
      <c r="N147" s="456"/>
      <c r="O147" s="458"/>
      <c r="P147" s="459"/>
      <c r="Q147" s="456"/>
      <c r="R147" s="457"/>
      <c r="S147" s="456"/>
      <c r="T147" s="458"/>
      <c r="U147" s="469"/>
      <c r="V147" s="456"/>
      <c r="W147" s="457"/>
      <c r="X147" s="456"/>
      <c r="Y147" s="457"/>
      <c r="Z147" s="459"/>
      <c r="AA147" s="456"/>
      <c r="AB147" s="457"/>
      <c r="AC147" s="456"/>
      <c r="AD147" s="457"/>
      <c r="AE147" s="459"/>
    </row>
  </sheetData>
  <sheetProtection/>
  <mergeCells count="15">
    <mergeCell ref="G7:K7"/>
    <mergeCell ref="L7:P7"/>
    <mergeCell ref="Q7:U7"/>
    <mergeCell ref="V7:Z7"/>
    <mergeCell ref="AC8:AD8"/>
    <mergeCell ref="AA7:AE7"/>
    <mergeCell ref="G8:H8"/>
    <mergeCell ref="I8:J8"/>
    <mergeCell ref="L8:M8"/>
    <mergeCell ref="N8:O8"/>
    <mergeCell ref="Q8:R8"/>
    <mergeCell ref="S8:T8"/>
    <mergeCell ref="V8:W8"/>
    <mergeCell ref="X8:Y8"/>
    <mergeCell ref="AA8:AB8"/>
  </mergeCells>
  <hyperlinks>
    <hyperlink ref="G1" location="Inputs!A1" display="Index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44"/>
  <sheetViews>
    <sheetView zoomScalePageLayoutView="0" workbookViewId="0" topLeftCell="A100">
      <selection activeCell="I126" sqref="I126:M126"/>
    </sheetView>
  </sheetViews>
  <sheetFormatPr defaultColWidth="8.8515625" defaultRowHeight="12.75"/>
  <cols>
    <col min="1" max="1" width="8.8515625" style="0" customWidth="1"/>
    <col min="2" max="2" width="23.421875" style="0" customWidth="1"/>
  </cols>
  <sheetData>
    <row r="1" spans="1:6" ht="12.75">
      <c r="A1" s="388" t="s">
        <v>499</v>
      </c>
      <c r="F1" s="390" t="s">
        <v>775</v>
      </c>
    </row>
    <row r="3" ht="12.75">
      <c r="A3" s="388" t="s">
        <v>595</v>
      </c>
    </row>
    <row r="6" spans="1:20" ht="12.75">
      <c r="A6" s="405"/>
      <c r="B6" s="487" t="s">
        <v>596</v>
      </c>
      <c r="C6" s="488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9"/>
      <c r="S6" s="405"/>
      <c r="T6" s="405"/>
    </row>
    <row r="7" spans="1:20" ht="13.5" thickBot="1">
      <c r="A7" s="405"/>
      <c r="B7" s="405"/>
      <c r="C7" s="488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9"/>
      <c r="S7" s="405"/>
      <c r="T7" s="405"/>
    </row>
    <row r="8" spans="1:20" ht="12.75">
      <c r="A8" s="405"/>
      <c r="B8" s="489"/>
      <c r="C8" s="490"/>
      <c r="D8" s="491" t="s">
        <v>646</v>
      </c>
      <c r="E8" s="492"/>
      <c r="F8" s="492"/>
      <c r="G8" s="492"/>
      <c r="H8" s="493"/>
      <c r="I8" s="492" t="s">
        <v>647</v>
      </c>
      <c r="J8" s="494"/>
      <c r="K8" s="494"/>
      <c r="L8" s="494"/>
      <c r="M8" s="493"/>
      <c r="N8" s="405"/>
      <c r="O8" s="495" t="s">
        <v>646</v>
      </c>
      <c r="P8" s="496"/>
      <c r="Q8" s="497"/>
      <c r="R8" s="409"/>
      <c r="S8" s="495" t="s">
        <v>647</v>
      </c>
      <c r="T8" s="497"/>
    </row>
    <row r="9" spans="1:20" ht="25.5">
      <c r="A9" s="405"/>
      <c r="B9" s="498"/>
      <c r="C9" s="499" t="s">
        <v>560</v>
      </c>
      <c r="D9" s="500" t="s">
        <v>561</v>
      </c>
      <c r="E9" s="501" t="s">
        <v>562</v>
      </c>
      <c r="F9" s="501" t="s">
        <v>558</v>
      </c>
      <c r="G9" s="501" t="s">
        <v>563</v>
      </c>
      <c r="H9" s="502" t="s">
        <v>564</v>
      </c>
      <c r="I9" s="503" t="s">
        <v>648</v>
      </c>
      <c r="J9" s="501" t="s">
        <v>667</v>
      </c>
      <c r="K9" s="501" t="s">
        <v>668</v>
      </c>
      <c r="L9" s="501" t="s">
        <v>669</v>
      </c>
      <c r="M9" s="502" t="s">
        <v>670</v>
      </c>
      <c r="N9" s="405"/>
      <c r="O9" s="504" t="s">
        <v>657</v>
      </c>
      <c r="P9" s="505" t="s">
        <v>658</v>
      </c>
      <c r="Q9" s="506" t="s">
        <v>810</v>
      </c>
      <c r="R9" s="409"/>
      <c r="S9" s="504" t="s">
        <v>658</v>
      </c>
      <c r="T9" s="506" t="s">
        <v>659</v>
      </c>
    </row>
    <row r="10" spans="1:20" ht="12.75">
      <c r="A10" s="405"/>
      <c r="B10" s="507" t="s">
        <v>726</v>
      </c>
      <c r="C10" s="508" t="s">
        <v>543</v>
      </c>
      <c r="D10" s="1301">
        <v>17.6</v>
      </c>
      <c r="E10" s="1302">
        <v>18.1</v>
      </c>
      <c r="F10" s="1302">
        <v>20.7</v>
      </c>
      <c r="G10" s="1302">
        <v>15.3</v>
      </c>
      <c r="H10" s="1303">
        <v>14.6</v>
      </c>
      <c r="I10" s="1302">
        <v>13.4</v>
      </c>
      <c r="J10" s="1304">
        <v>14.1</v>
      </c>
      <c r="K10" s="1304">
        <v>13.1</v>
      </c>
      <c r="L10" s="1304">
        <v>13.1</v>
      </c>
      <c r="M10" s="1303">
        <v>13.8</v>
      </c>
      <c r="N10" s="405"/>
      <c r="O10" s="406">
        <v>56.4</v>
      </c>
      <c r="P10" s="407">
        <v>29.9</v>
      </c>
      <c r="Q10" s="408">
        <v>86.3</v>
      </c>
      <c r="R10" s="409"/>
      <c r="S10" s="406">
        <v>67.5</v>
      </c>
      <c r="T10" s="1305">
        <v>-0.2178447276940905</v>
      </c>
    </row>
    <row r="11" spans="1:20" ht="12.75">
      <c r="A11" s="405"/>
      <c r="B11" s="507" t="s">
        <v>727</v>
      </c>
      <c r="C11" s="508" t="s">
        <v>543</v>
      </c>
      <c r="D11" s="1306">
        <v>17</v>
      </c>
      <c r="E11" s="1307">
        <v>17.1</v>
      </c>
      <c r="F11" s="1307">
        <v>19</v>
      </c>
      <c r="G11" s="1307">
        <v>14.15</v>
      </c>
      <c r="H11" s="1308">
        <v>13.5</v>
      </c>
      <c r="I11" s="1307">
        <v>12.7</v>
      </c>
      <c r="J11" s="1309">
        <v>13.15</v>
      </c>
      <c r="K11" s="1309">
        <v>12.3</v>
      </c>
      <c r="L11" s="1309">
        <v>12.3</v>
      </c>
      <c r="M11" s="1308">
        <v>12.85</v>
      </c>
      <c r="N11" s="405"/>
      <c r="O11" s="406">
        <v>53.1</v>
      </c>
      <c r="P11" s="407">
        <v>27.65</v>
      </c>
      <c r="Q11" s="408">
        <v>80.75</v>
      </c>
      <c r="R11" s="409"/>
      <c r="S11" s="406">
        <v>63.3</v>
      </c>
      <c r="T11" s="1305">
        <v>-0.21609907120743044</v>
      </c>
    </row>
    <row r="12" spans="1:20" ht="12.75">
      <c r="A12" s="405"/>
      <c r="B12" s="507" t="s">
        <v>350</v>
      </c>
      <c r="C12" s="508" t="s">
        <v>543</v>
      </c>
      <c r="D12" s="1310">
        <v>0.5999999999999979</v>
      </c>
      <c r="E12" s="1311">
        <v>1</v>
      </c>
      <c r="F12" s="1311">
        <v>1.7</v>
      </c>
      <c r="G12" s="1311">
        <v>1.15</v>
      </c>
      <c r="H12" s="1312">
        <v>1.1</v>
      </c>
      <c r="I12" s="1313">
        <v>0.7000000000000011</v>
      </c>
      <c r="J12" s="1311">
        <v>0.9499999999999993</v>
      </c>
      <c r="K12" s="1311">
        <v>0.8000000000000007</v>
      </c>
      <c r="L12" s="1311">
        <v>0.8000000000000007</v>
      </c>
      <c r="M12" s="1312">
        <v>0.9499999999999993</v>
      </c>
      <c r="N12" s="405"/>
      <c r="O12" s="406">
        <v>3.2999999999999936</v>
      </c>
      <c r="P12" s="407">
        <v>2.25</v>
      </c>
      <c r="Q12" s="408">
        <v>5.549999999999994</v>
      </c>
      <c r="R12" s="409"/>
      <c r="S12" s="406">
        <v>4.2</v>
      </c>
      <c r="T12" s="1305">
        <v>-0.24324324324324217</v>
      </c>
    </row>
    <row r="13" spans="1:20" ht="12.75">
      <c r="A13" s="405"/>
      <c r="B13" s="507" t="s">
        <v>729</v>
      </c>
      <c r="C13" s="508" t="s">
        <v>543</v>
      </c>
      <c r="D13" s="1306">
        <v>-0.7</v>
      </c>
      <c r="E13" s="1307">
        <v>3.8</v>
      </c>
      <c r="F13" s="1307">
        <v>5.8</v>
      </c>
      <c r="G13" s="1307">
        <v>5.4</v>
      </c>
      <c r="H13" s="1308">
        <v>5.1</v>
      </c>
      <c r="I13" s="1307">
        <v>4.8</v>
      </c>
      <c r="J13" s="1309">
        <v>5</v>
      </c>
      <c r="K13" s="1309">
        <v>4.7</v>
      </c>
      <c r="L13" s="1309">
        <v>4.7</v>
      </c>
      <c r="M13" s="1308">
        <v>4.9</v>
      </c>
      <c r="N13" s="405"/>
      <c r="O13" s="406">
        <v>8.9</v>
      </c>
      <c r="P13" s="407">
        <v>10.5</v>
      </c>
      <c r="Q13" s="408">
        <v>19.4</v>
      </c>
      <c r="R13" s="409"/>
      <c r="S13" s="406">
        <v>24.1</v>
      </c>
      <c r="T13" s="1305">
        <v>0.24226804123711357</v>
      </c>
    </row>
    <row r="14" spans="1:20" ht="13.5" thickBot="1">
      <c r="A14" s="405"/>
      <c r="B14" s="509" t="s">
        <v>125</v>
      </c>
      <c r="C14" s="510" t="s">
        <v>543</v>
      </c>
      <c r="D14" s="1314">
        <v>1.3</v>
      </c>
      <c r="E14" s="1315">
        <v>-2.8</v>
      </c>
      <c r="F14" s="1315">
        <v>-4.1</v>
      </c>
      <c r="G14" s="1315">
        <v>-4.25</v>
      </c>
      <c r="H14" s="1316">
        <v>-4</v>
      </c>
      <c r="I14" s="1317">
        <v>-4.1</v>
      </c>
      <c r="J14" s="1315">
        <v>-4.05</v>
      </c>
      <c r="K14" s="1315">
        <v>-3.9</v>
      </c>
      <c r="L14" s="1315">
        <v>-3.9</v>
      </c>
      <c r="M14" s="1316">
        <v>-3.95</v>
      </c>
      <c r="N14" s="405"/>
      <c r="O14" s="410">
        <v>-5.600000000000006</v>
      </c>
      <c r="P14" s="411">
        <v>-8.25</v>
      </c>
      <c r="Q14" s="412">
        <v>-13.85</v>
      </c>
      <c r="R14" s="409"/>
      <c r="S14" s="410">
        <v>-19.9</v>
      </c>
      <c r="T14" s="1318">
        <v>0.43682310469314</v>
      </c>
    </row>
    <row r="15" spans="1:20" ht="12.75">
      <c r="A15" s="405"/>
      <c r="B15" s="405"/>
      <c r="C15" s="488"/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9"/>
      <c r="S15" s="405"/>
      <c r="T15" s="405"/>
    </row>
    <row r="16" spans="1:20" ht="12.75">
      <c r="A16" s="405"/>
      <c r="B16" s="487" t="s">
        <v>126</v>
      </c>
      <c r="C16" s="488"/>
      <c r="D16" s="511"/>
      <c r="E16" s="511"/>
      <c r="F16" s="511"/>
      <c r="G16" s="511"/>
      <c r="H16" s="511"/>
      <c r="I16" s="511"/>
      <c r="J16" s="511"/>
      <c r="K16" s="511"/>
      <c r="L16" s="511"/>
      <c r="M16" s="511"/>
      <c r="N16" s="511"/>
      <c r="O16" s="405"/>
      <c r="P16" s="405"/>
      <c r="Q16" s="405"/>
      <c r="R16" s="409"/>
      <c r="S16" s="511"/>
      <c r="T16" s="511"/>
    </row>
    <row r="17" spans="1:20" ht="13.5" thickBot="1">
      <c r="A17" s="405"/>
      <c r="B17" s="487"/>
      <c r="C17" s="488"/>
      <c r="D17" s="511"/>
      <c r="E17" s="511"/>
      <c r="F17" s="511"/>
      <c r="G17" s="511"/>
      <c r="H17" s="511"/>
      <c r="I17" s="511"/>
      <c r="J17" s="511"/>
      <c r="K17" s="511"/>
      <c r="L17" s="511"/>
      <c r="M17" s="511"/>
      <c r="N17" s="409"/>
      <c r="O17" s="409"/>
      <c r="P17" s="409"/>
      <c r="Q17" s="409"/>
      <c r="R17" s="409"/>
      <c r="S17" s="409"/>
      <c r="T17" s="409"/>
    </row>
    <row r="18" spans="1:20" ht="12.75">
      <c r="A18" s="405"/>
      <c r="B18" s="489"/>
      <c r="C18" s="490"/>
      <c r="D18" s="1319" t="s">
        <v>646</v>
      </c>
      <c r="E18" s="1320"/>
      <c r="F18" s="1320"/>
      <c r="G18" s="1320"/>
      <c r="H18" s="493"/>
      <c r="I18" s="1320" t="s">
        <v>647</v>
      </c>
      <c r="J18" s="494"/>
      <c r="K18" s="494"/>
      <c r="L18" s="494"/>
      <c r="M18" s="493"/>
      <c r="N18" s="409"/>
      <c r="O18" s="409"/>
      <c r="P18" s="409"/>
      <c r="Q18" s="409"/>
      <c r="R18" s="409"/>
      <c r="S18" s="409"/>
      <c r="T18" s="409"/>
    </row>
    <row r="19" spans="1:20" ht="12.75">
      <c r="A19" s="405"/>
      <c r="B19" s="498"/>
      <c r="C19" s="499" t="s">
        <v>560</v>
      </c>
      <c r="D19" s="1321" t="s">
        <v>561</v>
      </c>
      <c r="E19" s="1322" t="s">
        <v>562</v>
      </c>
      <c r="F19" s="1322" t="s">
        <v>558</v>
      </c>
      <c r="G19" s="1322" t="s">
        <v>563</v>
      </c>
      <c r="H19" s="1323" t="s">
        <v>564</v>
      </c>
      <c r="I19" s="1324" t="s">
        <v>648</v>
      </c>
      <c r="J19" s="1322" t="s">
        <v>667</v>
      </c>
      <c r="K19" s="1322" t="s">
        <v>668</v>
      </c>
      <c r="L19" s="1322" t="s">
        <v>669</v>
      </c>
      <c r="M19" s="1323" t="s">
        <v>670</v>
      </c>
      <c r="N19" s="409"/>
      <c r="O19" s="409"/>
      <c r="P19" s="409"/>
      <c r="Q19" s="409"/>
      <c r="R19" s="409"/>
      <c r="S19" s="409"/>
      <c r="T19" s="409"/>
    </row>
    <row r="20" spans="1:20" ht="12.75">
      <c r="A20" s="405"/>
      <c r="B20" s="512"/>
      <c r="C20" s="513"/>
      <c r="D20" s="514"/>
      <c r="E20" s="515"/>
      <c r="F20" s="515"/>
      <c r="G20" s="515"/>
      <c r="H20" s="516"/>
      <c r="I20" s="515"/>
      <c r="J20" s="515"/>
      <c r="K20" s="515"/>
      <c r="L20" s="515"/>
      <c r="M20" s="516"/>
      <c r="N20" s="409"/>
      <c r="O20" s="409"/>
      <c r="P20" s="409"/>
      <c r="Q20" s="409"/>
      <c r="R20" s="409"/>
      <c r="S20" s="409"/>
      <c r="T20" s="409"/>
    </row>
    <row r="21" spans="1:20" ht="25.5">
      <c r="A21" s="405"/>
      <c r="B21" s="517" t="s">
        <v>127</v>
      </c>
      <c r="C21" s="508" t="s">
        <v>808</v>
      </c>
      <c r="D21" s="1325">
        <v>2248.9503331799997</v>
      </c>
      <c r="E21" s="1307">
        <v>2150.7974694199997</v>
      </c>
      <c r="F21" s="1307">
        <v>2179.2925999999998</v>
      </c>
      <c r="G21" s="1307">
        <v>2157.856080333333</v>
      </c>
      <c r="H21" s="1308">
        <v>2157.856080333333</v>
      </c>
      <c r="I21" s="1307">
        <v>2179.4346411366664</v>
      </c>
      <c r="J21" s="1309">
        <v>2201.2289875480333</v>
      </c>
      <c r="K21" s="1309">
        <v>2223.2412774235136</v>
      </c>
      <c r="L21" s="1309">
        <v>2245.4736901977485</v>
      </c>
      <c r="M21" s="1308">
        <v>2267.928427099726</v>
      </c>
      <c r="N21" s="409"/>
      <c r="O21" s="409"/>
      <c r="P21" s="409"/>
      <c r="Q21" s="409"/>
      <c r="R21" s="409"/>
      <c r="S21" s="409"/>
      <c r="T21" s="409"/>
    </row>
    <row r="22" spans="1:20" ht="25.5">
      <c r="A22" s="405"/>
      <c r="B22" s="517" t="s">
        <v>269</v>
      </c>
      <c r="C22" s="508" t="s">
        <v>808</v>
      </c>
      <c r="D22" s="1306">
        <v>14.9925</v>
      </c>
      <c r="E22" s="1307">
        <v>-98.15286375999993</v>
      </c>
      <c r="F22" s="1307">
        <v>28.495130580000023</v>
      </c>
      <c r="G22" s="1307">
        <v>-21.436519666666754</v>
      </c>
      <c r="H22" s="1308">
        <v>0</v>
      </c>
      <c r="I22" s="1307">
        <v>21.578560803333403</v>
      </c>
      <c r="J22" s="1309">
        <v>21.79434641136686</v>
      </c>
      <c r="K22" s="1309">
        <v>22.012289875480292</v>
      </c>
      <c r="L22" s="1309">
        <v>22.232412774234945</v>
      </c>
      <c r="M22" s="1308">
        <v>22.454736901977412</v>
      </c>
      <c r="N22" s="409"/>
      <c r="O22" s="409"/>
      <c r="P22" s="409"/>
      <c r="Q22" s="409"/>
      <c r="R22" s="409"/>
      <c r="S22" s="409"/>
      <c r="T22" s="409"/>
    </row>
    <row r="23" spans="1:20" ht="38.25">
      <c r="A23" s="405"/>
      <c r="B23" s="518" t="s">
        <v>266</v>
      </c>
      <c r="C23" s="508" t="s">
        <v>808</v>
      </c>
      <c r="D23" s="470">
        <v>14.9925</v>
      </c>
      <c r="E23" s="471">
        <v>13.302100000000001</v>
      </c>
      <c r="F23" s="471">
        <v>18.3856</v>
      </c>
      <c r="G23" s="471">
        <v>14.915</v>
      </c>
      <c r="H23" s="472">
        <v>14.75</v>
      </c>
      <c r="I23" s="471">
        <v>15.8</v>
      </c>
      <c r="J23" s="473">
        <v>17.1</v>
      </c>
      <c r="K23" s="473">
        <v>18.1</v>
      </c>
      <c r="L23" s="473">
        <v>18.1</v>
      </c>
      <c r="M23" s="472">
        <v>18.1</v>
      </c>
      <c r="N23" s="409"/>
      <c r="O23" s="409"/>
      <c r="P23" s="409"/>
      <c r="Q23" s="409"/>
      <c r="R23" s="409"/>
      <c r="S23" s="409"/>
      <c r="T23" s="409"/>
    </row>
    <row r="24" spans="1:20" ht="38.25">
      <c r="A24" s="405"/>
      <c r="B24" s="518" t="s">
        <v>267</v>
      </c>
      <c r="C24" s="508" t="s">
        <v>808</v>
      </c>
      <c r="D24" s="470">
        <v>0</v>
      </c>
      <c r="E24" s="471">
        <v>-0.4282</v>
      </c>
      <c r="F24" s="471">
        <v>-0.8454</v>
      </c>
      <c r="G24" s="471">
        <v>-0.47</v>
      </c>
      <c r="H24" s="472">
        <v>-0.44800000000000006</v>
      </c>
      <c r="I24" s="471">
        <v>-0.72</v>
      </c>
      <c r="J24" s="473">
        <v>-0.775</v>
      </c>
      <c r="K24" s="473">
        <v>-0.775</v>
      </c>
      <c r="L24" s="473">
        <v>-0.775</v>
      </c>
      <c r="M24" s="472">
        <v>-0.775</v>
      </c>
      <c r="N24" s="409"/>
      <c r="O24" s="409"/>
      <c r="P24" s="409"/>
      <c r="Q24" s="409"/>
      <c r="R24" s="409"/>
      <c r="S24" s="409"/>
      <c r="T24" s="409"/>
    </row>
    <row r="25" spans="1:20" ht="51">
      <c r="A25" s="405"/>
      <c r="B25" s="518" t="s">
        <v>270</v>
      </c>
      <c r="C25" s="508" t="s">
        <v>808</v>
      </c>
      <c r="D25" s="470">
        <v>0</v>
      </c>
      <c r="E25" s="471">
        <v>-111.02676375999994</v>
      </c>
      <c r="F25" s="471">
        <v>10.954930580000022</v>
      </c>
      <c r="G25" s="471">
        <v>-35.881519666666755</v>
      </c>
      <c r="H25" s="472">
        <v>-14.302</v>
      </c>
      <c r="I25" s="471">
        <v>6.498560803333402</v>
      </c>
      <c r="J25" s="473">
        <v>5.469346411366859</v>
      </c>
      <c r="K25" s="473">
        <v>4.687289875480291</v>
      </c>
      <c r="L25" s="473">
        <v>4.907412774234944</v>
      </c>
      <c r="M25" s="472">
        <v>5.129736901977411</v>
      </c>
      <c r="N25" s="409"/>
      <c r="O25" s="409"/>
      <c r="P25" s="409"/>
      <c r="Q25" s="409"/>
      <c r="R25" s="409"/>
      <c r="S25" s="409"/>
      <c r="T25" s="409"/>
    </row>
    <row r="26" spans="1:20" ht="12.75">
      <c r="A26" s="405"/>
      <c r="B26" s="519"/>
      <c r="C26" s="520"/>
      <c r="D26" s="521"/>
      <c r="E26" s="522"/>
      <c r="F26" s="522"/>
      <c r="G26" s="522"/>
      <c r="H26" s="523"/>
      <c r="I26" s="522"/>
      <c r="J26" s="522"/>
      <c r="K26" s="522"/>
      <c r="L26" s="522"/>
      <c r="M26" s="523"/>
      <c r="N26" s="409"/>
      <c r="O26" s="409"/>
      <c r="P26" s="409"/>
      <c r="Q26" s="409"/>
      <c r="R26" s="409"/>
      <c r="S26" s="409"/>
      <c r="T26" s="409"/>
    </row>
    <row r="27" spans="1:20" ht="25.5">
      <c r="A27" s="405"/>
      <c r="B27" s="517" t="s">
        <v>132</v>
      </c>
      <c r="C27" s="508" t="s">
        <v>580</v>
      </c>
      <c r="D27" s="1325">
        <v>13175.31223220985</v>
      </c>
      <c r="E27" s="1307">
        <v>12752.515874775498</v>
      </c>
      <c r="F27" s="1307">
        <v>12653.150485799997</v>
      </c>
      <c r="G27" s="1307">
        <v>12355.350485799998</v>
      </c>
      <c r="H27" s="1308">
        <v>12355.350485799998</v>
      </c>
      <c r="I27" s="1307">
        <v>12478.904140633249</v>
      </c>
      <c r="J27" s="1309">
        <v>12603.693332014831</v>
      </c>
      <c r="K27" s="1309">
        <v>12729.730415310229</v>
      </c>
      <c r="L27" s="1309">
        <v>12857.027869438582</v>
      </c>
      <c r="M27" s="1308">
        <v>12985.598298108218</v>
      </c>
      <c r="N27" s="409"/>
      <c r="O27" s="409"/>
      <c r="P27" s="409"/>
      <c r="Q27" s="409"/>
      <c r="R27" s="409"/>
      <c r="S27" s="409"/>
      <c r="T27" s="409"/>
    </row>
    <row r="28" spans="1:20" ht="25.5">
      <c r="A28" s="405"/>
      <c r="B28" s="524" t="s">
        <v>129</v>
      </c>
      <c r="C28" s="508" t="s">
        <v>580</v>
      </c>
      <c r="D28" s="1306">
        <v>56.01745216705058</v>
      </c>
      <c r="E28" s="1307">
        <v>-422.7963574343521</v>
      </c>
      <c r="F28" s="1307">
        <v>-99.36538897550054</v>
      </c>
      <c r="G28" s="1307">
        <v>-297.8</v>
      </c>
      <c r="H28" s="1308">
        <v>0</v>
      </c>
      <c r="I28" s="1307">
        <v>123.55365483325113</v>
      </c>
      <c r="J28" s="1309">
        <v>124.78919138158199</v>
      </c>
      <c r="K28" s="1309">
        <v>126.03708329539768</v>
      </c>
      <c r="L28" s="1309">
        <v>127.29745412835291</v>
      </c>
      <c r="M28" s="1308">
        <v>128.57042866963639</v>
      </c>
      <c r="N28" s="409"/>
      <c r="O28" s="409"/>
      <c r="P28" s="409"/>
      <c r="Q28" s="409"/>
      <c r="R28" s="409"/>
      <c r="S28" s="409"/>
      <c r="T28" s="409"/>
    </row>
    <row r="29" spans="1:20" ht="12.75">
      <c r="A29" s="405"/>
      <c r="B29" s="525" t="s">
        <v>351</v>
      </c>
      <c r="C29" s="508" t="s">
        <v>580</v>
      </c>
      <c r="D29" s="470">
        <v>56.01745216705058</v>
      </c>
      <c r="E29" s="471">
        <v>-422.7963574343521</v>
      </c>
      <c r="F29" s="471">
        <v>-99.36538897550054</v>
      </c>
      <c r="G29" s="471">
        <v>-171.3</v>
      </c>
      <c r="H29" s="472">
        <v>123.6</v>
      </c>
      <c r="I29" s="471">
        <v>123.55365483325113</v>
      </c>
      <c r="J29" s="473">
        <v>124.78919138158199</v>
      </c>
      <c r="K29" s="473">
        <v>126.03708329539768</v>
      </c>
      <c r="L29" s="473">
        <v>127.29745412835291</v>
      </c>
      <c r="M29" s="472">
        <v>128.57042866963639</v>
      </c>
      <c r="N29" s="409"/>
      <c r="O29" s="409"/>
      <c r="P29" s="409"/>
      <c r="Q29" s="409"/>
      <c r="R29" s="409"/>
      <c r="S29" s="409"/>
      <c r="T29" s="409"/>
    </row>
    <row r="30" spans="1:20" ht="12.75">
      <c r="A30" s="405"/>
      <c r="B30" s="525" t="s">
        <v>352</v>
      </c>
      <c r="C30" s="508" t="s">
        <v>580</v>
      </c>
      <c r="D30" s="470">
        <v>0</v>
      </c>
      <c r="E30" s="471">
        <v>0</v>
      </c>
      <c r="F30" s="471">
        <v>0</v>
      </c>
      <c r="G30" s="471">
        <v>0</v>
      </c>
      <c r="H30" s="472">
        <v>0</v>
      </c>
      <c r="I30" s="471">
        <v>0</v>
      </c>
      <c r="J30" s="473">
        <v>0</v>
      </c>
      <c r="K30" s="473">
        <v>0</v>
      </c>
      <c r="L30" s="473">
        <v>0</v>
      </c>
      <c r="M30" s="472">
        <v>0</v>
      </c>
      <c r="N30" s="409"/>
      <c r="O30" s="409"/>
      <c r="P30" s="409"/>
      <c r="Q30" s="409"/>
      <c r="R30" s="409"/>
      <c r="S30" s="409"/>
      <c r="T30" s="409"/>
    </row>
    <row r="31" spans="1:20" ht="12.75">
      <c r="A31" s="405"/>
      <c r="B31" s="525" t="s">
        <v>353</v>
      </c>
      <c r="C31" s="508" t="s">
        <v>580</v>
      </c>
      <c r="D31" s="470">
        <v>0</v>
      </c>
      <c r="E31" s="471">
        <v>0</v>
      </c>
      <c r="F31" s="471">
        <v>0</v>
      </c>
      <c r="G31" s="471">
        <v>0</v>
      </c>
      <c r="H31" s="472">
        <v>0</v>
      </c>
      <c r="I31" s="471">
        <v>0</v>
      </c>
      <c r="J31" s="473">
        <v>0</v>
      </c>
      <c r="K31" s="473">
        <v>0</v>
      </c>
      <c r="L31" s="473">
        <v>0</v>
      </c>
      <c r="M31" s="472">
        <v>0</v>
      </c>
      <c r="N31" s="409"/>
      <c r="O31" s="409"/>
      <c r="P31" s="409"/>
      <c r="Q31" s="409"/>
      <c r="R31" s="409"/>
      <c r="S31" s="409"/>
      <c r="T31" s="409"/>
    </row>
    <row r="32" spans="1:20" ht="12.75">
      <c r="A32" s="405"/>
      <c r="B32" s="525" t="s">
        <v>271</v>
      </c>
      <c r="C32" s="508" t="s">
        <v>580</v>
      </c>
      <c r="D32" s="470">
        <v>0</v>
      </c>
      <c r="E32" s="471">
        <v>0</v>
      </c>
      <c r="F32" s="471">
        <v>0</v>
      </c>
      <c r="G32" s="471">
        <v>0</v>
      </c>
      <c r="H32" s="472">
        <v>0</v>
      </c>
      <c r="I32" s="471">
        <v>0</v>
      </c>
      <c r="J32" s="473">
        <v>0</v>
      </c>
      <c r="K32" s="473">
        <v>0</v>
      </c>
      <c r="L32" s="473">
        <v>0</v>
      </c>
      <c r="M32" s="472">
        <v>0</v>
      </c>
      <c r="N32" s="409"/>
      <c r="O32" s="409"/>
      <c r="P32" s="409"/>
      <c r="Q32" s="409"/>
      <c r="R32" s="409"/>
      <c r="S32" s="409"/>
      <c r="T32" s="409"/>
    </row>
    <row r="33" spans="1:20" ht="12.75">
      <c r="A33" s="405"/>
      <c r="B33" s="525" t="s">
        <v>272</v>
      </c>
      <c r="C33" s="508" t="s">
        <v>580</v>
      </c>
      <c r="D33" s="470">
        <v>0</v>
      </c>
      <c r="E33" s="471">
        <v>0</v>
      </c>
      <c r="F33" s="471">
        <v>0</v>
      </c>
      <c r="G33" s="471">
        <v>0</v>
      </c>
      <c r="H33" s="472">
        <v>0</v>
      </c>
      <c r="I33" s="471">
        <v>0</v>
      </c>
      <c r="J33" s="473">
        <v>0</v>
      </c>
      <c r="K33" s="473">
        <v>0</v>
      </c>
      <c r="L33" s="473">
        <v>0</v>
      </c>
      <c r="M33" s="472">
        <v>0</v>
      </c>
      <c r="N33" s="409"/>
      <c r="O33" s="409"/>
      <c r="P33" s="409"/>
      <c r="Q33" s="409"/>
      <c r="R33" s="409"/>
      <c r="S33" s="409"/>
      <c r="T33" s="409"/>
    </row>
    <row r="34" spans="1:20" ht="12.75">
      <c r="A34" s="405"/>
      <c r="B34" s="525" t="s">
        <v>273</v>
      </c>
      <c r="C34" s="508" t="s">
        <v>580</v>
      </c>
      <c r="D34" s="470">
        <v>0</v>
      </c>
      <c r="E34" s="471">
        <v>0</v>
      </c>
      <c r="F34" s="471">
        <v>0</v>
      </c>
      <c r="G34" s="471">
        <v>-126.5</v>
      </c>
      <c r="H34" s="472">
        <v>-123.6</v>
      </c>
      <c r="I34" s="471">
        <v>0</v>
      </c>
      <c r="J34" s="473">
        <v>0</v>
      </c>
      <c r="K34" s="473">
        <v>0</v>
      </c>
      <c r="L34" s="473">
        <v>0</v>
      </c>
      <c r="M34" s="472">
        <v>0</v>
      </c>
      <c r="N34" s="409"/>
      <c r="O34" s="409"/>
      <c r="P34" s="409"/>
      <c r="Q34" s="409"/>
      <c r="R34" s="409"/>
      <c r="S34" s="409"/>
      <c r="T34" s="409"/>
    </row>
    <row r="35" spans="1:20" ht="12.75">
      <c r="A35" s="405"/>
      <c r="B35" s="519"/>
      <c r="C35" s="520"/>
      <c r="D35" s="526"/>
      <c r="E35" s="527"/>
      <c r="F35" s="527"/>
      <c r="G35" s="527"/>
      <c r="H35" s="528"/>
      <c r="I35" s="527"/>
      <c r="J35" s="527"/>
      <c r="K35" s="527"/>
      <c r="L35" s="527"/>
      <c r="M35" s="528"/>
      <c r="N35" s="409"/>
      <c r="O35" s="409"/>
      <c r="P35" s="409"/>
      <c r="Q35" s="409"/>
      <c r="R35" s="409"/>
      <c r="S35" s="409"/>
      <c r="T35" s="409"/>
    </row>
    <row r="36" spans="1:20" ht="25.5">
      <c r="A36" s="405"/>
      <c r="B36" s="517" t="s">
        <v>132</v>
      </c>
      <c r="C36" s="508"/>
      <c r="D36" s="529"/>
      <c r="E36" s="530"/>
      <c r="F36" s="530"/>
      <c r="G36" s="530"/>
      <c r="H36" s="531"/>
      <c r="I36" s="530"/>
      <c r="J36" s="530"/>
      <c r="K36" s="530"/>
      <c r="L36" s="530"/>
      <c r="M36" s="531"/>
      <c r="N36" s="409"/>
      <c r="O36" s="409"/>
      <c r="P36" s="409"/>
      <c r="Q36" s="409"/>
      <c r="R36" s="409"/>
      <c r="S36" s="409"/>
      <c r="T36" s="409"/>
    </row>
    <row r="37" spans="1:20" ht="12.75">
      <c r="A37" s="405"/>
      <c r="B37" s="518" t="s">
        <v>804</v>
      </c>
      <c r="C37" s="508" t="s">
        <v>580</v>
      </c>
      <c r="D37" s="470">
        <v>7428.872901000002</v>
      </c>
      <c r="E37" s="471">
        <v>7245.308491999999</v>
      </c>
      <c r="F37" s="471">
        <v>7216.204194499999</v>
      </c>
      <c r="G37" s="471">
        <v>7288.366236444999</v>
      </c>
      <c r="H37" s="472">
        <v>7288.366236444999</v>
      </c>
      <c r="I37" s="471">
        <v>7361.249898809449</v>
      </c>
      <c r="J37" s="473">
        <v>7434.862397797544</v>
      </c>
      <c r="K37" s="473">
        <v>7509.21102177552</v>
      </c>
      <c r="L37" s="473">
        <v>7584.303131993275</v>
      </c>
      <c r="M37" s="472">
        <v>7660.146163313208</v>
      </c>
      <c r="N37" s="409"/>
      <c r="O37" s="409"/>
      <c r="P37" s="409"/>
      <c r="Q37" s="409"/>
      <c r="R37" s="409"/>
      <c r="S37" s="409"/>
      <c r="T37" s="409"/>
    </row>
    <row r="38" spans="1:20" ht="12.75">
      <c r="A38" s="405"/>
      <c r="B38" s="518" t="s">
        <v>803</v>
      </c>
      <c r="C38" s="508" t="s">
        <v>580</v>
      </c>
      <c r="D38" s="470">
        <v>2674.8896592833335</v>
      </c>
      <c r="E38" s="471">
        <v>2491.1796430000004</v>
      </c>
      <c r="F38" s="471">
        <v>2482.1083529999996</v>
      </c>
      <c r="G38" s="471">
        <v>2407.6451024099997</v>
      </c>
      <c r="H38" s="472">
        <v>2407.6451024099997</v>
      </c>
      <c r="I38" s="471">
        <v>2431.7215534341</v>
      </c>
      <c r="J38" s="473">
        <v>2456.0387689684408</v>
      </c>
      <c r="K38" s="473">
        <v>2480.599156658125</v>
      </c>
      <c r="L38" s="473">
        <v>2505.4051482247064</v>
      </c>
      <c r="M38" s="472">
        <v>2530.4591997069533</v>
      </c>
      <c r="N38" s="409"/>
      <c r="O38" s="409"/>
      <c r="P38" s="409"/>
      <c r="Q38" s="409"/>
      <c r="R38" s="409"/>
      <c r="S38" s="409"/>
      <c r="T38" s="409"/>
    </row>
    <row r="39" spans="1:20" ht="12.75">
      <c r="A39" s="405"/>
      <c r="B39" s="518" t="s">
        <v>274</v>
      </c>
      <c r="C39" s="508" t="s">
        <v>580</v>
      </c>
      <c r="D39" s="470">
        <v>3071.549671926513</v>
      </c>
      <c r="E39" s="471">
        <v>3016.0277397754976</v>
      </c>
      <c r="F39" s="471">
        <v>2954.8379382999997</v>
      </c>
      <c r="G39" s="471">
        <v>2659.35414447</v>
      </c>
      <c r="H39" s="472">
        <v>2659.35414447</v>
      </c>
      <c r="I39" s="471">
        <v>2685.9476859147</v>
      </c>
      <c r="J39" s="473">
        <v>2712.807162773847</v>
      </c>
      <c r="K39" s="473">
        <v>2739.935234401585</v>
      </c>
      <c r="L39" s="473">
        <v>2767.334586745601</v>
      </c>
      <c r="M39" s="472">
        <v>2795.007932613057</v>
      </c>
      <c r="N39" s="409"/>
      <c r="O39" s="409"/>
      <c r="P39" s="409"/>
      <c r="Q39" s="409"/>
      <c r="R39" s="409"/>
      <c r="S39" s="409"/>
      <c r="T39" s="409"/>
    </row>
    <row r="40" spans="1:20" ht="12.75">
      <c r="A40" s="405"/>
      <c r="B40" s="517" t="s">
        <v>268</v>
      </c>
      <c r="C40" s="508" t="s">
        <v>580</v>
      </c>
      <c r="D40" s="1310">
        <v>13175.31223220985</v>
      </c>
      <c r="E40" s="1313">
        <v>12752.515874775498</v>
      </c>
      <c r="F40" s="1313">
        <v>12653.150485799997</v>
      </c>
      <c r="G40" s="1313">
        <v>12355.365483324998</v>
      </c>
      <c r="H40" s="1312">
        <v>12355.365483324998</v>
      </c>
      <c r="I40" s="1313">
        <v>12478.91913815825</v>
      </c>
      <c r="J40" s="1311">
        <v>12603.708329539832</v>
      </c>
      <c r="K40" s="1311">
        <v>12729.74541283523</v>
      </c>
      <c r="L40" s="1311">
        <v>12857.042866963582</v>
      </c>
      <c r="M40" s="1312">
        <v>12985.613295633219</v>
      </c>
      <c r="N40" s="409"/>
      <c r="O40" s="409"/>
      <c r="P40" s="409"/>
      <c r="Q40" s="409"/>
      <c r="R40" s="409"/>
      <c r="S40" s="409"/>
      <c r="T40" s="409"/>
    </row>
    <row r="41" spans="1:20" ht="12.75">
      <c r="A41" s="405"/>
      <c r="B41" s="524"/>
      <c r="C41" s="508"/>
      <c r="D41" s="521"/>
      <c r="E41" s="522"/>
      <c r="F41" s="522"/>
      <c r="G41" s="522"/>
      <c r="H41" s="523"/>
      <c r="I41" s="522"/>
      <c r="J41" s="522"/>
      <c r="K41" s="522"/>
      <c r="L41" s="522"/>
      <c r="M41" s="523"/>
      <c r="N41" s="409"/>
      <c r="O41" s="409"/>
      <c r="P41" s="409"/>
      <c r="Q41" s="409"/>
      <c r="R41" s="409"/>
      <c r="S41" s="409"/>
      <c r="T41" s="409"/>
    </row>
    <row r="42" spans="1:20" ht="51">
      <c r="A42" s="405"/>
      <c r="B42" s="524" t="s">
        <v>390</v>
      </c>
      <c r="C42" s="508"/>
      <c r="D42" s="529"/>
      <c r="E42" s="530"/>
      <c r="F42" s="530"/>
      <c r="G42" s="530"/>
      <c r="H42" s="531"/>
      <c r="I42" s="530"/>
      <c r="J42" s="530"/>
      <c r="K42" s="530"/>
      <c r="L42" s="530"/>
      <c r="M42" s="531"/>
      <c r="N42" s="409"/>
      <c r="O42" s="409"/>
      <c r="P42" s="409"/>
      <c r="Q42" s="409"/>
      <c r="R42" s="409"/>
      <c r="S42" s="409"/>
      <c r="T42" s="409"/>
    </row>
    <row r="43" spans="1:20" ht="12.75">
      <c r="A43" s="405"/>
      <c r="B43" s="518" t="s">
        <v>804</v>
      </c>
      <c r="C43" s="508" t="s">
        <v>391</v>
      </c>
      <c r="D43" s="470">
        <v>37362.5</v>
      </c>
      <c r="E43" s="471">
        <v>38496.5</v>
      </c>
      <c r="F43" s="471">
        <v>42462</v>
      </c>
      <c r="G43" s="471">
        <v>31500</v>
      </c>
      <c r="H43" s="472">
        <v>30345</v>
      </c>
      <c r="I43" s="471">
        <v>28000</v>
      </c>
      <c r="J43" s="473">
        <v>27125</v>
      </c>
      <c r="K43" s="473">
        <v>24675</v>
      </c>
      <c r="L43" s="473">
        <v>24675</v>
      </c>
      <c r="M43" s="472">
        <v>24675</v>
      </c>
      <c r="N43" s="409"/>
      <c r="O43" s="409"/>
      <c r="P43" s="409"/>
      <c r="Q43" s="409"/>
      <c r="R43" s="409"/>
      <c r="S43" s="409"/>
      <c r="T43" s="409"/>
    </row>
    <row r="44" spans="1:20" ht="12.75">
      <c r="A44" s="405"/>
      <c r="B44" s="518" t="s">
        <v>803</v>
      </c>
      <c r="C44" s="508" t="s">
        <v>391</v>
      </c>
      <c r="D44" s="470">
        <v>28470</v>
      </c>
      <c r="E44" s="471">
        <v>5255</v>
      </c>
      <c r="F44" s="471">
        <v>37230</v>
      </c>
      <c r="G44" s="471">
        <v>30660</v>
      </c>
      <c r="H44" s="472">
        <v>30660</v>
      </c>
      <c r="I44" s="471">
        <v>32850</v>
      </c>
      <c r="J44" s="473">
        <v>39420</v>
      </c>
      <c r="K44" s="473">
        <v>48180</v>
      </c>
      <c r="L44" s="473">
        <v>48180</v>
      </c>
      <c r="M44" s="472">
        <v>48180</v>
      </c>
      <c r="N44" s="409"/>
      <c r="O44" s="409"/>
      <c r="P44" s="409"/>
      <c r="Q44" s="409"/>
      <c r="R44" s="409"/>
      <c r="S44" s="409"/>
      <c r="T44" s="409"/>
    </row>
    <row r="45" spans="1:20" ht="12.75">
      <c r="A45" s="405"/>
      <c r="B45" s="518" t="s">
        <v>274</v>
      </c>
      <c r="C45" s="508" t="s">
        <v>391</v>
      </c>
      <c r="D45" s="470">
        <v>0</v>
      </c>
      <c r="E45" s="471">
        <v>0</v>
      </c>
      <c r="F45" s="471">
        <v>30000</v>
      </c>
      <c r="G45" s="471">
        <v>89000</v>
      </c>
      <c r="H45" s="472">
        <v>0</v>
      </c>
      <c r="I45" s="471">
        <v>0</v>
      </c>
      <c r="J45" s="473">
        <v>20000</v>
      </c>
      <c r="K45" s="473">
        <v>20000</v>
      </c>
      <c r="L45" s="473">
        <v>0</v>
      </c>
      <c r="M45" s="472">
        <v>20000</v>
      </c>
      <c r="N45" s="409"/>
      <c r="O45" s="409"/>
      <c r="P45" s="409"/>
      <c r="Q45" s="409"/>
      <c r="R45" s="409"/>
      <c r="S45" s="409"/>
      <c r="T45" s="409"/>
    </row>
    <row r="46" spans="1:20" ht="39" thickBot="1">
      <c r="A46" s="405"/>
      <c r="B46" s="532" t="s">
        <v>392</v>
      </c>
      <c r="C46" s="510" t="s">
        <v>391</v>
      </c>
      <c r="D46" s="1314">
        <v>65832.5</v>
      </c>
      <c r="E46" s="1317">
        <v>43751.5</v>
      </c>
      <c r="F46" s="1317">
        <v>109692</v>
      </c>
      <c r="G46" s="1317">
        <v>151160</v>
      </c>
      <c r="H46" s="1316">
        <v>61005</v>
      </c>
      <c r="I46" s="1317">
        <v>60850</v>
      </c>
      <c r="J46" s="1315">
        <v>86545</v>
      </c>
      <c r="K46" s="1315">
        <v>92855</v>
      </c>
      <c r="L46" s="1315">
        <v>72855</v>
      </c>
      <c r="M46" s="1316">
        <v>92855</v>
      </c>
      <c r="N46" s="481"/>
      <c r="O46" s="409"/>
      <c r="P46" s="409"/>
      <c r="Q46" s="409"/>
      <c r="R46" s="409"/>
      <c r="S46" s="409"/>
      <c r="T46" s="409"/>
    </row>
    <row r="47" spans="1:20" ht="12.75">
      <c r="A47" s="409"/>
      <c r="B47" s="409"/>
      <c r="C47" s="409"/>
      <c r="D47" s="409"/>
      <c r="E47" s="409"/>
      <c r="F47" s="409"/>
      <c r="G47" s="409"/>
      <c r="H47" s="409"/>
      <c r="I47" s="409"/>
      <c r="J47" s="409"/>
      <c r="K47" s="409"/>
      <c r="L47" s="409"/>
      <c r="M47" s="409"/>
      <c r="N47" s="409"/>
      <c r="O47" s="409"/>
      <c r="P47" s="409"/>
      <c r="Q47" s="409"/>
      <c r="R47" s="409"/>
      <c r="S47" s="409"/>
      <c r="T47" s="409"/>
    </row>
    <row r="48" spans="1:20" ht="12.75">
      <c r="A48" s="405"/>
      <c r="B48" s="405"/>
      <c r="C48" s="488"/>
      <c r="D48" s="511"/>
      <c r="E48" s="511"/>
      <c r="F48" s="511"/>
      <c r="G48" s="511"/>
      <c r="H48" s="511"/>
      <c r="I48" s="511"/>
      <c r="J48" s="511"/>
      <c r="K48" s="511"/>
      <c r="L48" s="511"/>
      <c r="M48" s="511"/>
      <c r="N48" s="409"/>
      <c r="O48" s="409"/>
      <c r="P48" s="409"/>
      <c r="Q48" s="409"/>
      <c r="R48" s="409"/>
      <c r="S48" s="409"/>
      <c r="T48" s="409"/>
    </row>
    <row r="49" spans="1:20" ht="12.75">
      <c r="A49" s="405"/>
      <c r="B49" s="487" t="s">
        <v>145</v>
      </c>
      <c r="C49" s="488"/>
      <c r="D49" s="511"/>
      <c r="E49" s="511"/>
      <c r="F49" s="511"/>
      <c r="G49" s="511"/>
      <c r="H49" s="511"/>
      <c r="I49" s="511"/>
      <c r="J49" s="511"/>
      <c r="K49" s="511"/>
      <c r="L49" s="511"/>
      <c r="M49" s="511"/>
      <c r="N49" s="409"/>
      <c r="O49" s="409"/>
      <c r="P49" s="409"/>
      <c r="Q49" s="409"/>
      <c r="R49" s="409"/>
      <c r="S49" s="409"/>
      <c r="T49" s="409"/>
    </row>
    <row r="50" spans="1:20" ht="13.5" thickBot="1">
      <c r="A50" s="405"/>
      <c r="B50" s="487"/>
      <c r="C50" s="488"/>
      <c r="D50" s="511"/>
      <c r="E50" s="511"/>
      <c r="F50" s="511"/>
      <c r="G50" s="511"/>
      <c r="H50" s="511"/>
      <c r="I50" s="511"/>
      <c r="J50" s="511"/>
      <c r="K50" s="511"/>
      <c r="L50" s="511"/>
      <c r="M50" s="511"/>
      <c r="N50" s="409"/>
      <c r="O50" s="409"/>
      <c r="P50" s="409"/>
      <c r="Q50" s="409"/>
      <c r="R50" s="409"/>
      <c r="S50" s="409"/>
      <c r="T50" s="409"/>
    </row>
    <row r="51" spans="1:20" ht="12.75">
      <c r="A51" s="405"/>
      <c r="B51" s="489"/>
      <c r="C51" s="533"/>
      <c r="D51" s="1319" t="s">
        <v>646</v>
      </c>
      <c r="E51" s="1320"/>
      <c r="F51" s="1320"/>
      <c r="G51" s="1320"/>
      <c r="H51" s="493"/>
      <c r="I51" s="1320" t="s">
        <v>647</v>
      </c>
      <c r="J51" s="494"/>
      <c r="K51" s="494"/>
      <c r="L51" s="494"/>
      <c r="M51" s="493"/>
      <c r="N51" s="409"/>
      <c r="O51" s="409"/>
      <c r="P51" s="409"/>
      <c r="Q51" s="409"/>
      <c r="R51" s="409"/>
      <c r="S51" s="409"/>
      <c r="T51" s="409"/>
    </row>
    <row r="52" spans="1:20" ht="12.75">
      <c r="A52" s="405"/>
      <c r="B52" s="498"/>
      <c r="C52" s="534" t="s">
        <v>560</v>
      </c>
      <c r="D52" s="1321" t="s">
        <v>561</v>
      </c>
      <c r="E52" s="1322" t="s">
        <v>562</v>
      </c>
      <c r="F52" s="1322" t="s">
        <v>558</v>
      </c>
      <c r="G52" s="1322" t="s">
        <v>563</v>
      </c>
      <c r="H52" s="1323" t="s">
        <v>564</v>
      </c>
      <c r="I52" s="1324" t="s">
        <v>648</v>
      </c>
      <c r="J52" s="1322" t="s">
        <v>667</v>
      </c>
      <c r="K52" s="1322" t="s">
        <v>668</v>
      </c>
      <c r="L52" s="1322" t="s">
        <v>669</v>
      </c>
      <c r="M52" s="1323" t="s">
        <v>670</v>
      </c>
      <c r="N52" s="409"/>
      <c r="O52" s="409"/>
      <c r="P52" s="409"/>
      <c r="Q52" s="409"/>
      <c r="R52" s="409"/>
      <c r="S52" s="409"/>
      <c r="T52" s="409"/>
    </row>
    <row r="53" spans="1:20" ht="12.75">
      <c r="A53" s="405"/>
      <c r="B53" s="535" t="s">
        <v>146</v>
      </c>
      <c r="C53" s="536"/>
      <c r="D53" s="1326"/>
      <c r="E53" s="1327"/>
      <c r="F53" s="1327"/>
      <c r="G53" s="1327"/>
      <c r="H53" s="1328"/>
      <c r="I53" s="522"/>
      <c r="J53" s="522"/>
      <c r="K53" s="522"/>
      <c r="L53" s="522"/>
      <c r="M53" s="523"/>
      <c r="N53" s="537"/>
      <c r="O53" s="409"/>
      <c r="P53" s="409"/>
      <c r="Q53" s="409"/>
      <c r="R53" s="409"/>
      <c r="S53" s="409"/>
      <c r="T53" s="409"/>
    </row>
    <row r="54" spans="1:20" ht="12.75">
      <c r="A54" s="405"/>
      <c r="B54" s="512" t="s">
        <v>234</v>
      </c>
      <c r="C54" s="538"/>
      <c r="D54" s="1329"/>
      <c r="E54" s="1330"/>
      <c r="F54" s="1330"/>
      <c r="G54" s="1330"/>
      <c r="H54" s="1331"/>
      <c r="I54" s="527"/>
      <c r="J54" s="527"/>
      <c r="K54" s="527"/>
      <c r="L54" s="527"/>
      <c r="M54" s="528"/>
      <c r="N54" s="537"/>
      <c r="O54" s="409"/>
      <c r="P54" s="409"/>
      <c r="Q54" s="409"/>
      <c r="R54" s="409"/>
      <c r="S54" s="409"/>
      <c r="T54" s="409"/>
    </row>
    <row r="55" spans="1:20" ht="12.75">
      <c r="A55" s="405"/>
      <c r="B55" s="539" t="s">
        <v>235</v>
      </c>
      <c r="C55" s="538" t="s">
        <v>236</v>
      </c>
      <c r="D55" s="540">
        <v>0</v>
      </c>
      <c r="E55" s="541">
        <v>0</v>
      </c>
      <c r="F55" s="541">
        <v>7</v>
      </c>
      <c r="G55" s="541">
        <v>2</v>
      </c>
      <c r="H55" s="542">
        <v>4</v>
      </c>
      <c r="I55" s="541">
        <v>8</v>
      </c>
      <c r="J55" s="543">
        <v>10</v>
      </c>
      <c r="K55" s="543">
        <v>12</v>
      </c>
      <c r="L55" s="543">
        <v>12</v>
      </c>
      <c r="M55" s="542">
        <v>12</v>
      </c>
      <c r="N55" s="409"/>
      <c r="O55" s="409"/>
      <c r="P55" s="409"/>
      <c r="Q55" s="409"/>
      <c r="R55" s="409"/>
      <c r="S55" s="409"/>
      <c r="T55" s="409"/>
    </row>
    <row r="56" spans="1:20" ht="12.75">
      <c r="A56" s="405"/>
      <c r="B56" s="539" t="s">
        <v>237</v>
      </c>
      <c r="C56" s="538" t="s">
        <v>236</v>
      </c>
      <c r="D56" s="540">
        <v>10675</v>
      </c>
      <c r="E56" s="541">
        <v>11161</v>
      </c>
      <c r="F56" s="541">
        <v>10696</v>
      </c>
      <c r="G56" s="541">
        <v>9200</v>
      </c>
      <c r="H56" s="542">
        <v>8850</v>
      </c>
      <c r="I56" s="541">
        <v>8200</v>
      </c>
      <c r="J56" s="543">
        <v>8000</v>
      </c>
      <c r="K56" s="543">
        <v>7300</v>
      </c>
      <c r="L56" s="543">
        <v>7300</v>
      </c>
      <c r="M56" s="542">
        <v>7300</v>
      </c>
      <c r="N56" s="409"/>
      <c r="O56" s="409"/>
      <c r="P56" s="409"/>
      <c r="Q56" s="409"/>
      <c r="R56" s="409"/>
      <c r="S56" s="409"/>
      <c r="T56" s="409"/>
    </row>
    <row r="57" spans="1:20" ht="12.75">
      <c r="A57" s="405"/>
      <c r="B57" s="539" t="s">
        <v>490</v>
      </c>
      <c r="C57" s="538" t="s">
        <v>236</v>
      </c>
      <c r="D57" s="540" t="s">
        <v>196</v>
      </c>
      <c r="E57" s="541">
        <v>162</v>
      </c>
      <c r="F57" s="541">
        <v>314</v>
      </c>
      <c r="G57" s="541">
        <v>200</v>
      </c>
      <c r="H57" s="542">
        <v>180</v>
      </c>
      <c r="I57" s="541">
        <v>200</v>
      </c>
      <c r="J57" s="543">
        <v>250</v>
      </c>
      <c r="K57" s="543">
        <v>250</v>
      </c>
      <c r="L57" s="543">
        <v>250</v>
      </c>
      <c r="M57" s="542">
        <v>250</v>
      </c>
      <c r="N57" s="409"/>
      <c r="O57" s="409"/>
      <c r="P57" s="409"/>
      <c r="Q57" s="409"/>
      <c r="R57" s="409"/>
      <c r="S57" s="409"/>
      <c r="T57" s="409"/>
    </row>
    <row r="58" spans="1:20" ht="12.75">
      <c r="A58" s="405"/>
      <c r="B58" s="512" t="s">
        <v>366</v>
      </c>
      <c r="C58" s="538"/>
      <c r="D58" s="1332"/>
      <c r="E58" s="1333"/>
      <c r="F58" s="1333"/>
      <c r="G58" s="1333"/>
      <c r="H58" s="1334"/>
      <c r="I58" s="544"/>
      <c r="J58" s="544"/>
      <c r="K58" s="544"/>
      <c r="L58" s="544"/>
      <c r="M58" s="545"/>
      <c r="N58" s="537"/>
      <c r="O58" s="409"/>
      <c r="P58" s="409"/>
      <c r="Q58" s="409"/>
      <c r="R58" s="409"/>
      <c r="S58" s="409"/>
      <c r="T58" s="409"/>
    </row>
    <row r="59" spans="1:20" ht="12.75">
      <c r="A59" s="405"/>
      <c r="B59" s="539" t="s">
        <v>235</v>
      </c>
      <c r="C59" s="538" t="s">
        <v>236</v>
      </c>
      <c r="D59" s="540">
        <v>0</v>
      </c>
      <c r="E59" s="541">
        <v>1</v>
      </c>
      <c r="F59" s="541">
        <v>4</v>
      </c>
      <c r="G59" s="541">
        <v>3</v>
      </c>
      <c r="H59" s="542">
        <v>3</v>
      </c>
      <c r="I59" s="541">
        <v>6</v>
      </c>
      <c r="J59" s="543">
        <v>8</v>
      </c>
      <c r="K59" s="543">
        <v>10</v>
      </c>
      <c r="L59" s="543">
        <v>10</v>
      </c>
      <c r="M59" s="542">
        <v>10</v>
      </c>
      <c r="N59" s="409"/>
      <c r="O59" s="409"/>
      <c r="P59" s="409"/>
      <c r="Q59" s="409"/>
      <c r="R59" s="409"/>
      <c r="S59" s="409"/>
      <c r="T59" s="409"/>
    </row>
    <row r="60" spans="1:20" ht="12.75">
      <c r="A60" s="405"/>
      <c r="B60" s="539" t="s">
        <v>237</v>
      </c>
      <c r="C60" s="538" t="s">
        <v>236</v>
      </c>
      <c r="D60" s="540">
        <v>13</v>
      </c>
      <c r="E60" s="541">
        <v>3</v>
      </c>
      <c r="F60" s="541">
        <v>19</v>
      </c>
      <c r="G60" s="541">
        <v>15</v>
      </c>
      <c r="H60" s="542">
        <v>15</v>
      </c>
      <c r="I60" s="541">
        <v>17</v>
      </c>
      <c r="J60" s="543">
        <v>20</v>
      </c>
      <c r="K60" s="543">
        <v>24</v>
      </c>
      <c r="L60" s="543">
        <v>24</v>
      </c>
      <c r="M60" s="542">
        <v>24</v>
      </c>
      <c r="N60" s="409"/>
      <c r="O60" s="409"/>
      <c r="P60" s="409"/>
      <c r="Q60" s="409"/>
      <c r="R60" s="409"/>
      <c r="S60" s="409"/>
      <c r="T60" s="409"/>
    </row>
    <row r="61" spans="1:20" ht="12.75">
      <c r="A61" s="405"/>
      <c r="B61" s="539" t="s">
        <v>490</v>
      </c>
      <c r="C61" s="538" t="s">
        <v>236</v>
      </c>
      <c r="D61" s="540" t="s">
        <v>196</v>
      </c>
      <c r="E61" s="541">
        <v>1</v>
      </c>
      <c r="F61" s="541">
        <v>2</v>
      </c>
      <c r="G61" s="541">
        <v>1</v>
      </c>
      <c r="H61" s="542">
        <v>1</v>
      </c>
      <c r="I61" s="541">
        <v>2</v>
      </c>
      <c r="J61" s="543">
        <v>2</v>
      </c>
      <c r="K61" s="543">
        <v>2</v>
      </c>
      <c r="L61" s="543">
        <v>2</v>
      </c>
      <c r="M61" s="542">
        <v>2</v>
      </c>
      <c r="N61" s="409"/>
      <c r="O61" s="409"/>
      <c r="P61" s="409"/>
      <c r="Q61" s="409"/>
      <c r="R61" s="409"/>
      <c r="S61" s="409"/>
      <c r="T61" s="409"/>
    </row>
    <row r="62" spans="1:20" ht="12.75">
      <c r="A62" s="405"/>
      <c r="B62" s="512" t="s">
        <v>489</v>
      </c>
      <c r="C62" s="538"/>
      <c r="D62" s="1332"/>
      <c r="E62" s="1333"/>
      <c r="F62" s="1333"/>
      <c r="G62" s="1333"/>
      <c r="H62" s="1334"/>
      <c r="I62" s="544"/>
      <c r="J62" s="544"/>
      <c r="K62" s="544"/>
      <c r="L62" s="544"/>
      <c r="M62" s="545"/>
      <c r="N62" s="537"/>
      <c r="O62" s="409"/>
      <c r="P62" s="409"/>
      <c r="Q62" s="409"/>
      <c r="R62" s="409"/>
      <c r="S62" s="409"/>
      <c r="T62" s="409"/>
    </row>
    <row r="63" spans="1:20" ht="12.75">
      <c r="A63" s="405"/>
      <c r="B63" s="539" t="s">
        <v>235</v>
      </c>
      <c r="C63" s="538" t="s">
        <v>236</v>
      </c>
      <c r="D63" s="540">
        <v>0</v>
      </c>
      <c r="E63" s="541">
        <v>0</v>
      </c>
      <c r="F63" s="541">
        <v>1</v>
      </c>
      <c r="G63" s="541">
        <v>0</v>
      </c>
      <c r="H63" s="542">
        <v>0</v>
      </c>
      <c r="I63" s="541">
        <v>0</v>
      </c>
      <c r="J63" s="543">
        <v>0</v>
      </c>
      <c r="K63" s="543">
        <v>0</v>
      </c>
      <c r="L63" s="543">
        <v>0</v>
      </c>
      <c r="M63" s="542">
        <v>0</v>
      </c>
      <c r="N63" s="409"/>
      <c r="O63" s="409"/>
      <c r="P63" s="409"/>
      <c r="Q63" s="409"/>
      <c r="R63" s="409"/>
      <c r="S63" s="409"/>
      <c r="T63" s="409"/>
    </row>
    <row r="64" spans="1:20" ht="12.75">
      <c r="A64" s="405"/>
      <c r="B64" s="539" t="s">
        <v>237</v>
      </c>
      <c r="C64" s="538" t="s">
        <v>236</v>
      </c>
      <c r="D64" s="540">
        <v>0</v>
      </c>
      <c r="E64" s="541">
        <v>0</v>
      </c>
      <c r="F64" s="541">
        <v>1</v>
      </c>
      <c r="G64" s="541">
        <v>1</v>
      </c>
      <c r="H64" s="542">
        <v>0</v>
      </c>
      <c r="I64" s="541">
        <v>0</v>
      </c>
      <c r="J64" s="543">
        <v>1</v>
      </c>
      <c r="K64" s="543">
        <v>0</v>
      </c>
      <c r="L64" s="543">
        <v>0</v>
      </c>
      <c r="M64" s="542">
        <v>1</v>
      </c>
      <c r="N64" s="409"/>
      <c r="O64" s="409"/>
      <c r="P64" s="409"/>
      <c r="Q64" s="409"/>
      <c r="R64" s="409"/>
      <c r="S64" s="409"/>
      <c r="T64" s="409"/>
    </row>
    <row r="65" spans="1:20" ht="12.75">
      <c r="A65" s="405"/>
      <c r="B65" s="539" t="s">
        <v>490</v>
      </c>
      <c r="C65" s="538" t="s">
        <v>236</v>
      </c>
      <c r="D65" s="540" t="s">
        <v>196</v>
      </c>
      <c r="E65" s="541">
        <v>0</v>
      </c>
      <c r="F65" s="541">
        <v>0</v>
      </c>
      <c r="G65" s="541">
        <v>0</v>
      </c>
      <c r="H65" s="542">
        <v>0</v>
      </c>
      <c r="I65" s="541">
        <v>0</v>
      </c>
      <c r="J65" s="543">
        <v>0</v>
      </c>
      <c r="K65" s="543">
        <v>0</v>
      </c>
      <c r="L65" s="543">
        <v>0</v>
      </c>
      <c r="M65" s="542">
        <v>0</v>
      </c>
      <c r="N65" s="409"/>
      <c r="O65" s="409"/>
      <c r="P65" s="409"/>
      <c r="Q65" s="409"/>
      <c r="R65" s="409"/>
      <c r="S65" s="409"/>
      <c r="T65" s="409"/>
    </row>
    <row r="66" spans="1:20" ht="12.75">
      <c r="A66" s="405"/>
      <c r="B66" s="512" t="s">
        <v>493</v>
      </c>
      <c r="C66" s="538"/>
      <c r="D66" s="1332"/>
      <c r="E66" s="1333"/>
      <c r="F66" s="1333"/>
      <c r="G66" s="1333"/>
      <c r="H66" s="1334"/>
      <c r="I66" s="544"/>
      <c r="J66" s="544"/>
      <c r="K66" s="544"/>
      <c r="L66" s="544"/>
      <c r="M66" s="545"/>
      <c r="N66" s="537"/>
      <c r="O66" s="409"/>
      <c r="P66" s="409"/>
      <c r="Q66" s="409"/>
      <c r="R66" s="409"/>
      <c r="S66" s="409"/>
      <c r="T66" s="409"/>
    </row>
    <row r="67" spans="1:20" ht="12.75">
      <c r="A67" s="405"/>
      <c r="B67" s="539" t="s">
        <v>235</v>
      </c>
      <c r="C67" s="538" t="s">
        <v>236</v>
      </c>
      <c r="D67" s="546">
        <v>0</v>
      </c>
      <c r="E67" s="547">
        <v>0</v>
      </c>
      <c r="F67" s="547">
        <v>0</v>
      </c>
      <c r="G67" s="547">
        <v>0</v>
      </c>
      <c r="H67" s="548">
        <v>0</v>
      </c>
      <c r="I67" s="547">
        <v>0</v>
      </c>
      <c r="J67" s="549">
        <v>0</v>
      </c>
      <c r="K67" s="549">
        <v>0</v>
      </c>
      <c r="L67" s="549">
        <v>0</v>
      </c>
      <c r="M67" s="548">
        <v>0</v>
      </c>
      <c r="N67" s="409"/>
      <c r="O67" s="409"/>
      <c r="P67" s="409"/>
      <c r="Q67" s="409"/>
      <c r="R67" s="409"/>
      <c r="S67" s="409"/>
      <c r="T67" s="409"/>
    </row>
    <row r="68" spans="1:20" ht="12.75">
      <c r="A68" s="405"/>
      <c r="B68" s="539" t="s">
        <v>237</v>
      </c>
      <c r="C68" s="538" t="s">
        <v>236</v>
      </c>
      <c r="D68" s="546">
        <v>0</v>
      </c>
      <c r="E68" s="547">
        <v>0</v>
      </c>
      <c r="F68" s="547">
        <v>0</v>
      </c>
      <c r="G68" s="547">
        <v>0</v>
      </c>
      <c r="H68" s="548">
        <v>0</v>
      </c>
      <c r="I68" s="547">
        <v>0</v>
      </c>
      <c r="J68" s="549">
        <v>0</v>
      </c>
      <c r="K68" s="549">
        <v>0</v>
      </c>
      <c r="L68" s="549">
        <v>0</v>
      </c>
      <c r="M68" s="548">
        <v>0</v>
      </c>
      <c r="N68" s="409"/>
      <c r="O68" s="409"/>
      <c r="P68" s="409"/>
      <c r="Q68" s="409"/>
      <c r="R68" s="409"/>
      <c r="S68" s="409"/>
      <c r="T68" s="409"/>
    </row>
    <row r="69" spans="1:20" ht="12.75">
      <c r="A69" s="405"/>
      <c r="B69" s="539" t="s">
        <v>490</v>
      </c>
      <c r="C69" s="538" t="s">
        <v>236</v>
      </c>
      <c r="D69" s="540" t="s">
        <v>196</v>
      </c>
      <c r="E69" s="541">
        <v>0</v>
      </c>
      <c r="F69" s="541">
        <v>0</v>
      </c>
      <c r="G69" s="541">
        <v>0</v>
      </c>
      <c r="H69" s="542">
        <v>0</v>
      </c>
      <c r="I69" s="541">
        <v>0</v>
      </c>
      <c r="J69" s="543">
        <v>0</v>
      </c>
      <c r="K69" s="543">
        <v>0</v>
      </c>
      <c r="L69" s="543">
        <v>0</v>
      </c>
      <c r="M69" s="542">
        <v>0</v>
      </c>
      <c r="N69" s="409"/>
      <c r="O69" s="409"/>
      <c r="P69" s="409"/>
      <c r="Q69" s="409"/>
      <c r="R69" s="409"/>
      <c r="S69" s="409"/>
      <c r="T69" s="409"/>
    </row>
    <row r="70" spans="1:20" ht="25.5">
      <c r="A70" s="405"/>
      <c r="B70" s="550" t="s">
        <v>494</v>
      </c>
      <c r="C70" s="538" t="s">
        <v>236</v>
      </c>
      <c r="D70" s="1335">
        <v>10688</v>
      </c>
      <c r="E70" s="1336">
        <v>11165</v>
      </c>
      <c r="F70" s="1336">
        <v>10728</v>
      </c>
      <c r="G70" s="1336">
        <v>9221</v>
      </c>
      <c r="H70" s="1337">
        <v>8872</v>
      </c>
      <c r="I70" s="1338">
        <v>8231</v>
      </c>
      <c r="J70" s="1336">
        <v>8039</v>
      </c>
      <c r="K70" s="1336">
        <v>7346</v>
      </c>
      <c r="L70" s="1336">
        <v>7346</v>
      </c>
      <c r="M70" s="1337">
        <v>7347</v>
      </c>
      <c r="N70" s="551"/>
      <c r="O70" s="409"/>
      <c r="P70" s="409"/>
      <c r="Q70" s="409"/>
      <c r="R70" s="409"/>
      <c r="S70" s="409"/>
      <c r="T70" s="409"/>
    </row>
    <row r="71" spans="1:20" ht="39" thickBot="1">
      <c r="A71" s="405"/>
      <c r="B71" s="552" t="s">
        <v>497</v>
      </c>
      <c r="C71" s="553" t="s">
        <v>236</v>
      </c>
      <c r="D71" s="1339">
        <v>0</v>
      </c>
      <c r="E71" s="1340">
        <v>163</v>
      </c>
      <c r="F71" s="1340">
        <v>316</v>
      </c>
      <c r="G71" s="1340">
        <v>201</v>
      </c>
      <c r="H71" s="1341">
        <v>181</v>
      </c>
      <c r="I71" s="1342">
        <v>202</v>
      </c>
      <c r="J71" s="1340">
        <v>252</v>
      </c>
      <c r="K71" s="1340">
        <v>252</v>
      </c>
      <c r="L71" s="1340">
        <v>252</v>
      </c>
      <c r="M71" s="1341">
        <v>252</v>
      </c>
      <c r="N71" s="551"/>
      <c r="O71" s="409"/>
      <c r="P71" s="409"/>
      <c r="Q71" s="409"/>
      <c r="R71" s="409"/>
      <c r="S71" s="409"/>
      <c r="T71" s="409"/>
    </row>
    <row r="72" spans="1:20" ht="12.75">
      <c r="A72" s="405"/>
      <c r="B72" s="554"/>
      <c r="C72" s="555"/>
      <c r="D72" s="409"/>
      <c r="E72" s="409"/>
      <c r="F72" s="409"/>
      <c r="G72" s="409"/>
      <c r="H72" s="409"/>
      <c r="I72" s="409"/>
      <c r="J72" s="409"/>
      <c r="K72" s="409"/>
      <c r="L72" s="409"/>
      <c r="M72" s="409"/>
      <c r="N72" s="409"/>
      <c r="O72" s="409"/>
      <c r="P72" s="409"/>
      <c r="Q72" s="409"/>
      <c r="R72" s="409"/>
      <c r="S72" s="409"/>
      <c r="T72" s="409"/>
    </row>
    <row r="73" spans="1:20" ht="12.75">
      <c r="A73" s="405"/>
      <c r="B73" s="556"/>
      <c r="C73" s="557"/>
      <c r="D73" s="558"/>
      <c r="E73" s="558"/>
      <c r="F73" s="558"/>
      <c r="G73" s="558"/>
      <c r="H73" s="558"/>
      <c r="I73" s="558"/>
      <c r="J73" s="558"/>
      <c r="K73" s="558"/>
      <c r="L73" s="558"/>
      <c r="M73" s="558"/>
      <c r="N73" s="409"/>
      <c r="O73" s="558"/>
      <c r="P73" s="558"/>
      <c r="Q73" s="558"/>
      <c r="R73" s="409"/>
      <c r="S73" s="558"/>
      <c r="T73" s="558"/>
    </row>
    <row r="74" spans="1:20" ht="12.75">
      <c r="A74" s="405"/>
      <c r="B74" s="487" t="s">
        <v>498</v>
      </c>
      <c r="C74" s="557"/>
      <c r="D74" s="558"/>
      <c r="E74" s="558"/>
      <c r="F74" s="558"/>
      <c r="G74" s="558"/>
      <c r="H74" s="558"/>
      <c r="I74" s="558"/>
      <c r="J74" s="558"/>
      <c r="K74" s="558"/>
      <c r="L74" s="558"/>
      <c r="M74" s="558"/>
      <c r="N74" s="409"/>
      <c r="O74" s="558"/>
      <c r="P74" s="558"/>
      <c r="Q74" s="558"/>
      <c r="R74" s="409"/>
      <c r="S74" s="558"/>
      <c r="T74" s="558"/>
    </row>
    <row r="75" spans="1:20" ht="13.5" thickBot="1">
      <c r="A75" s="405"/>
      <c r="B75" s="487"/>
      <c r="C75" s="557"/>
      <c r="D75" s="558"/>
      <c r="E75" s="558"/>
      <c r="F75" s="558"/>
      <c r="G75" s="558"/>
      <c r="H75" s="558"/>
      <c r="I75" s="558"/>
      <c r="J75" s="558"/>
      <c r="K75" s="558"/>
      <c r="L75" s="558"/>
      <c r="M75" s="558"/>
      <c r="N75" s="409"/>
      <c r="O75" s="558"/>
      <c r="P75" s="558"/>
      <c r="Q75" s="558"/>
      <c r="R75" s="409"/>
      <c r="S75" s="558"/>
      <c r="T75" s="558"/>
    </row>
    <row r="76" spans="1:20" ht="12.75">
      <c r="A76" s="405"/>
      <c r="B76" s="559"/>
      <c r="C76" s="533"/>
      <c r="D76" s="1319" t="s">
        <v>646</v>
      </c>
      <c r="E76" s="1320"/>
      <c r="F76" s="1320"/>
      <c r="G76" s="1320"/>
      <c r="H76" s="493"/>
      <c r="I76" s="1320" t="s">
        <v>647</v>
      </c>
      <c r="J76" s="494"/>
      <c r="K76" s="494"/>
      <c r="L76" s="494"/>
      <c r="M76" s="493"/>
      <c r="N76" s="409"/>
      <c r="O76" s="1343" t="s">
        <v>646</v>
      </c>
      <c r="P76" s="1344"/>
      <c r="Q76" s="1345"/>
      <c r="R76" s="409"/>
      <c r="S76" s="1343" t="s">
        <v>647</v>
      </c>
      <c r="T76" s="1345"/>
    </row>
    <row r="77" spans="1:20" ht="25.5">
      <c r="A77" s="405"/>
      <c r="B77" s="560" t="s">
        <v>498</v>
      </c>
      <c r="C77" s="534" t="s">
        <v>560</v>
      </c>
      <c r="D77" s="1321" t="s">
        <v>561</v>
      </c>
      <c r="E77" s="1322" t="s">
        <v>562</v>
      </c>
      <c r="F77" s="1322" t="s">
        <v>558</v>
      </c>
      <c r="G77" s="1322" t="s">
        <v>563</v>
      </c>
      <c r="H77" s="1323" t="s">
        <v>564</v>
      </c>
      <c r="I77" s="1324" t="s">
        <v>648</v>
      </c>
      <c r="J77" s="1322" t="s">
        <v>667</v>
      </c>
      <c r="K77" s="1322" t="s">
        <v>668</v>
      </c>
      <c r="L77" s="1322" t="s">
        <v>669</v>
      </c>
      <c r="M77" s="1323" t="s">
        <v>670</v>
      </c>
      <c r="N77" s="409"/>
      <c r="O77" s="1346" t="s">
        <v>657</v>
      </c>
      <c r="P77" s="1347" t="s">
        <v>658</v>
      </c>
      <c r="Q77" s="1348" t="s">
        <v>810</v>
      </c>
      <c r="R77" s="409"/>
      <c r="S77" s="1346" t="s">
        <v>658</v>
      </c>
      <c r="T77" s="1348" t="s">
        <v>659</v>
      </c>
    </row>
    <row r="78" spans="1:20" ht="12.75">
      <c r="A78" s="405"/>
      <c r="B78" s="561" t="s">
        <v>503</v>
      </c>
      <c r="C78" s="562"/>
      <c r="D78" s="1326"/>
      <c r="E78" s="1327"/>
      <c r="F78" s="1327"/>
      <c r="G78" s="1327"/>
      <c r="H78" s="1328"/>
      <c r="I78" s="522"/>
      <c r="J78" s="522"/>
      <c r="K78" s="522"/>
      <c r="L78" s="522"/>
      <c r="M78" s="523"/>
      <c r="N78" s="409"/>
      <c r="O78" s="521"/>
      <c r="P78" s="522"/>
      <c r="Q78" s="523"/>
      <c r="R78" s="409"/>
      <c r="S78" s="521"/>
      <c r="T78" s="523"/>
    </row>
    <row r="79" spans="1:20" ht="12.75">
      <c r="A79" s="405"/>
      <c r="B79" s="563" t="s">
        <v>355</v>
      </c>
      <c r="C79" s="564"/>
      <c r="D79" s="514"/>
      <c r="E79" s="515"/>
      <c r="F79" s="515"/>
      <c r="G79" s="515"/>
      <c r="H79" s="516"/>
      <c r="I79" s="515"/>
      <c r="J79" s="515"/>
      <c r="K79" s="515"/>
      <c r="L79" s="515"/>
      <c r="M79" s="516"/>
      <c r="N79" s="409"/>
      <c r="O79" s="565"/>
      <c r="P79" s="566"/>
      <c r="Q79" s="567"/>
      <c r="R79" s="409"/>
      <c r="S79" s="514"/>
      <c r="T79" s="516"/>
    </row>
    <row r="80" spans="1:20" ht="12.75">
      <c r="A80" s="405"/>
      <c r="B80" s="568" t="s">
        <v>504</v>
      </c>
      <c r="C80" s="538" t="s">
        <v>543</v>
      </c>
      <c r="D80" s="470">
        <v>14.1</v>
      </c>
      <c r="E80" s="471">
        <v>12</v>
      </c>
      <c r="F80" s="471">
        <v>13.8</v>
      </c>
      <c r="G80" s="471">
        <v>11.3</v>
      </c>
      <c r="H80" s="472">
        <v>10.9</v>
      </c>
      <c r="I80" s="471">
        <v>10</v>
      </c>
      <c r="J80" s="473">
        <v>9.8</v>
      </c>
      <c r="K80" s="473">
        <v>9</v>
      </c>
      <c r="L80" s="473">
        <v>9</v>
      </c>
      <c r="M80" s="472">
        <v>9</v>
      </c>
      <c r="N80" s="409"/>
      <c r="O80" s="406">
        <v>39.9</v>
      </c>
      <c r="P80" s="407">
        <v>22.2</v>
      </c>
      <c r="Q80" s="408">
        <v>62.1</v>
      </c>
      <c r="R80" s="409"/>
      <c r="S80" s="406">
        <v>46.9</v>
      </c>
      <c r="T80" s="1305">
        <v>-0.24476650563607089</v>
      </c>
    </row>
    <row r="81" spans="1:20" ht="12.75">
      <c r="A81" s="405"/>
      <c r="B81" s="568" t="s">
        <v>505</v>
      </c>
      <c r="C81" s="538" t="s">
        <v>543</v>
      </c>
      <c r="D81" s="470">
        <v>0.7</v>
      </c>
      <c r="E81" s="471">
        <v>1</v>
      </c>
      <c r="F81" s="471">
        <v>1.7</v>
      </c>
      <c r="G81" s="471">
        <v>1</v>
      </c>
      <c r="H81" s="472">
        <v>0.9</v>
      </c>
      <c r="I81" s="471">
        <v>1.3</v>
      </c>
      <c r="J81" s="473">
        <v>1.3</v>
      </c>
      <c r="K81" s="473">
        <v>1.1</v>
      </c>
      <c r="L81" s="473">
        <v>1.1</v>
      </c>
      <c r="M81" s="472">
        <v>1.1</v>
      </c>
      <c r="N81" s="409"/>
      <c r="O81" s="406">
        <v>3.4</v>
      </c>
      <c r="P81" s="407">
        <v>1.9</v>
      </c>
      <c r="Q81" s="408">
        <v>5.3</v>
      </c>
      <c r="R81" s="409"/>
      <c r="S81" s="406">
        <v>4.1</v>
      </c>
      <c r="T81" s="1305">
        <v>-0.2264150943396228</v>
      </c>
    </row>
    <row r="82" spans="1:20" ht="12.75">
      <c r="A82" s="405"/>
      <c r="B82" s="569" t="s">
        <v>506</v>
      </c>
      <c r="C82" s="538" t="s">
        <v>543</v>
      </c>
      <c r="D82" s="406">
        <v>14.8</v>
      </c>
      <c r="E82" s="474">
        <v>13</v>
      </c>
      <c r="F82" s="474">
        <v>15.5</v>
      </c>
      <c r="G82" s="474">
        <v>12.3</v>
      </c>
      <c r="H82" s="408">
        <v>11.8</v>
      </c>
      <c r="I82" s="474">
        <v>11.3</v>
      </c>
      <c r="J82" s="407">
        <v>11.1</v>
      </c>
      <c r="K82" s="407">
        <v>10.1</v>
      </c>
      <c r="L82" s="407">
        <v>10.1</v>
      </c>
      <c r="M82" s="408">
        <v>10.1</v>
      </c>
      <c r="N82" s="409"/>
      <c r="O82" s="406">
        <v>43.3</v>
      </c>
      <c r="P82" s="407">
        <v>24.1</v>
      </c>
      <c r="Q82" s="408">
        <v>67.4</v>
      </c>
      <c r="R82" s="409"/>
      <c r="S82" s="406">
        <v>51</v>
      </c>
      <c r="T82" s="1305">
        <v>-0.24332344213649842</v>
      </c>
    </row>
    <row r="83" spans="1:20" ht="12.75">
      <c r="A83" s="405"/>
      <c r="B83" s="563" t="s">
        <v>356</v>
      </c>
      <c r="C83" s="570"/>
      <c r="D83" s="475"/>
      <c r="E83" s="476"/>
      <c r="F83" s="476"/>
      <c r="G83" s="476"/>
      <c r="H83" s="477"/>
      <c r="I83" s="476"/>
      <c r="J83" s="476"/>
      <c r="K83" s="476"/>
      <c r="L83" s="476"/>
      <c r="M83" s="477"/>
      <c r="N83" s="409"/>
      <c r="O83" s="478"/>
      <c r="P83" s="476"/>
      <c r="Q83" s="477"/>
      <c r="R83" s="409"/>
      <c r="S83" s="475"/>
      <c r="T83" s="477"/>
    </row>
    <row r="84" spans="1:20" ht="12.75">
      <c r="A84" s="405"/>
      <c r="B84" s="568" t="s">
        <v>504</v>
      </c>
      <c r="C84" s="538" t="s">
        <v>543</v>
      </c>
      <c r="D84" s="470">
        <v>2.2</v>
      </c>
      <c r="E84" s="471">
        <v>3.2</v>
      </c>
      <c r="F84" s="471">
        <v>2.5</v>
      </c>
      <c r="G84" s="471">
        <v>1.7</v>
      </c>
      <c r="H84" s="472">
        <v>1.9</v>
      </c>
      <c r="I84" s="471">
        <v>1.1</v>
      </c>
      <c r="J84" s="473">
        <v>1</v>
      </c>
      <c r="K84" s="473">
        <v>1</v>
      </c>
      <c r="L84" s="473">
        <v>1</v>
      </c>
      <c r="M84" s="472">
        <v>1</v>
      </c>
      <c r="N84" s="409"/>
      <c r="O84" s="406">
        <v>7.9</v>
      </c>
      <c r="P84" s="407">
        <v>3.6</v>
      </c>
      <c r="Q84" s="408">
        <v>11.5</v>
      </c>
      <c r="R84" s="409"/>
      <c r="S84" s="406">
        <v>11.9</v>
      </c>
      <c r="T84" s="1305">
        <v>0.03478260869565205</v>
      </c>
    </row>
    <row r="85" spans="1:20" ht="12.75">
      <c r="A85" s="405"/>
      <c r="B85" s="568" t="s">
        <v>505</v>
      </c>
      <c r="C85" s="538" t="s">
        <v>543</v>
      </c>
      <c r="D85" s="470">
        <v>0</v>
      </c>
      <c r="E85" s="471">
        <v>0</v>
      </c>
      <c r="F85" s="471">
        <v>0.5</v>
      </c>
      <c r="G85" s="471">
        <v>0.6</v>
      </c>
      <c r="H85" s="472">
        <v>0.7</v>
      </c>
      <c r="I85" s="471">
        <v>1.3</v>
      </c>
      <c r="J85" s="473">
        <v>1.3</v>
      </c>
      <c r="K85" s="473">
        <v>1.3</v>
      </c>
      <c r="L85" s="473">
        <v>1.3</v>
      </c>
      <c r="M85" s="472">
        <v>1.3</v>
      </c>
      <c r="N85" s="409"/>
      <c r="O85" s="406">
        <v>0.5</v>
      </c>
      <c r="P85" s="407">
        <v>1.3</v>
      </c>
      <c r="Q85" s="408">
        <v>1.8</v>
      </c>
      <c r="R85" s="409"/>
      <c r="S85" s="406">
        <v>3.2</v>
      </c>
      <c r="T85" s="1305">
        <v>0.7777777777777778</v>
      </c>
    </row>
    <row r="86" spans="1:20" ht="12.75">
      <c r="A86" s="405"/>
      <c r="B86" s="569" t="s">
        <v>507</v>
      </c>
      <c r="C86" s="538" t="s">
        <v>543</v>
      </c>
      <c r="D86" s="406">
        <v>2.2</v>
      </c>
      <c r="E86" s="474">
        <v>3.2</v>
      </c>
      <c r="F86" s="474">
        <v>3</v>
      </c>
      <c r="G86" s="474">
        <v>2.3</v>
      </c>
      <c r="H86" s="408">
        <v>2.6</v>
      </c>
      <c r="I86" s="474">
        <v>2.4</v>
      </c>
      <c r="J86" s="407">
        <v>2.3</v>
      </c>
      <c r="K86" s="407">
        <v>2.3</v>
      </c>
      <c r="L86" s="407">
        <v>2.3</v>
      </c>
      <c r="M86" s="408">
        <v>2.3</v>
      </c>
      <c r="N86" s="409"/>
      <c r="O86" s="406">
        <v>8.4</v>
      </c>
      <c r="P86" s="407">
        <v>4.9</v>
      </c>
      <c r="Q86" s="408">
        <v>13.3</v>
      </c>
      <c r="R86" s="409"/>
      <c r="S86" s="406">
        <v>15.1</v>
      </c>
      <c r="T86" s="1305">
        <v>0.13533834586466184</v>
      </c>
    </row>
    <row r="87" spans="1:20" ht="12.75">
      <c r="A87" s="405"/>
      <c r="B87" s="563" t="s">
        <v>485</v>
      </c>
      <c r="C87" s="570"/>
      <c r="D87" s="475"/>
      <c r="E87" s="476"/>
      <c r="F87" s="476"/>
      <c r="G87" s="476"/>
      <c r="H87" s="477"/>
      <c r="I87" s="476"/>
      <c r="J87" s="476"/>
      <c r="K87" s="476"/>
      <c r="L87" s="476"/>
      <c r="M87" s="477"/>
      <c r="N87" s="409"/>
      <c r="O87" s="475"/>
      <c r="P87" s="476"/>
      <c r="Q87" s="477"/>
      <c r="R87" s="409"/>
      <c r="S87" s="475"/>
      <c r="T87" s="477"/>
    </row>
    <row r="88" spans="1:20" ht="12.75">
      <c r="A88" s="405"/>
      <c r="B88" s="568" t="s">
        <v>504</v>
      </c>
      <c r="C88" s="538" t="s">
        <v>543</v>
      </c>
      <c r="D88" s="470">
        <v>0.6</v>
      </c>
      <c r="E88" s="471">
        <v>1.2</v>
      </c>
      <c r="F88" s="471">
        <v>0.5</v>
      </c>
      <c r="G88" s="471">
        <v>0.4</v>
      </c>
      <c r="H88" s="472">
        <v>0</v>
      </c>
      <c r="I88" s="471">
        <v>0</v>
      </c>
      <c r="J88" s="473">
        <v>0</v>
      </c>
      <c r="K88" s="473">
        <v>0</v>
      </c>
      <c r="L88" s="473">
        <v>0</v>
      </c>
      <c r="M88" s="472">
        <v>0</v>
      </c>
      <c r="N88" s="409"/>
      <c r="O88" s="406">
        <v>2.3</v>
      </c>
      <c r="P88" s="407">
        <v>0.4</v>
      </c>
      <c r="Q88" s="408">
        <v>2.7</v>
      </c>
      <c r="R88" s="409"/>
      <c r="S88" s="406">
        <v>0.8</v>
      </c>
      <c r="T88" s="1305">
        <v>-0.7037037037037036</v>
      </c>
    </row>
    <row r="89" spans="1:20" ht="12.75">
      <c r="A89" s="405"/>
      <c r="B89" s="568" t="s">
        <v>505</v>
      </c>
      <c r="C89" s="538" t="s">
        <v>543</v>
      </c>
      <c r="D89" s="470">
        <v>0</v>
      </c>
      <c r="E89" s="471">
        <v>0.7</v>
      </c>
      <c r="F89" s="471">
        <v>1.7</v>
      </c>
      <c r="G89" s="471">
        <v>0.3</v>
      </c>
      <c r="H89" s="472">
        <v>0.2</v>
      </c>
      <c r="I89" s="471">
        <v>0</v>
      </c>
      <c r="J89" s="473">
        <v>0</v>
      </c>
      <c r="K89" s="473">
        <v>0</v>
      </c>
      <c r="L89" s="473">
        <v>0</v>
      </c>
      <c r="M89" s="472">
        <v>0</v>
      </c>
      <c r="N89" s="409"/>
      <c r="O89" s="406">
        <v>2.4</v>
      </c>
      <c r="P89" s="407">
        <v>0.5</v>
      </c>
      <c r="Q89" s="408">
        <v>2.9</v>
      </c>
      <c r="R89" s="409"/>
      <c r="S89" s="406">
        <v>0.6</v>
      </c>
      <c r="T89" s="1305">
        <v>-0.793103448275862</v>
      </c>
    </row>
    <row r="90" spans="1:20" ht="12.75">
      <c r="A90" s="405"/>
      <c r="B90" s="569" t="s">
        <v>508</v>
      </c>
      <c r="C90" s="538" t="s">
        <v>543</v>
      </c>
      <c r="D90" s="406">
        <v>0.6</v>
      </c>
      <c r="E90" s="474">
        <v>1.9</v>
      </c>
      <c r="F90" s="474">
        <v>2.2</v>
      </c>
      <c r="G90" s="474">
        <v>0.7</v>
      </c>
      <c r="H90" s="408">
        <v>0.2</v>
      </c>
      <c r="I90" s="474">
        <v>0</v>
      </c>
      <c r="J90" s="407">
        <v>0.7</v>
      </c>
      <c r="K90" s="407">
        <v>0</v>
      </c>
      <c r="L90" s="407">
        <v>0</v>
      </c>
      <c r="M90" s="408">
        <v>0.7</v>
      </c>
      <c r="N90" s="409"/>
      <c r="O90" s="406">
        <v>4.7</v>
      </c>
      <c r="P90" s="407">
        <v>0.9</v>
      </c>
      <c r="Q90" s="408">
        <v>5.6</v>
      </c>
      <c r="R90" s="409"/>
      <c r="S90" s="406">
        <v>1.4</v>
      </c>
      <c r="T90" s="1305">
        <v>-0.75</v>
      </c>
    </row>
    <row r="91" spans="1:20" ht="12.75">
      <c r="A91" s="405"/>
      <c r="B91" s="563" t="s">
        <v>486</v>
      </c>
      <c r="C91" s="570"/>
      <c r="D91" s="475"/>
      <c r="E91" s="476"/>
      <c r="F91" s="476"/>
      <c r="G91" s="476"/>
      <c r="H91" s="477"/>
      <c r="I91" s="476"/>
      <c r="J91" s="476"/>
      <c r="K91" s="476"/>
      <c r="L91" s="476"/>
      <c r="M91" s="477"/>
      <c r="N91" s="409"/>
      <c r="O91" s="475"/>
      <c r="P91" s="476"/>
      <c r="Q91" s="477"/>
      <c r="R91" s="409"/>
      <c r="S91" s="475"/>
      <c r="T91" s="477"/>
    </row>
    <row r="92" spans="1:20" ht="12.75">
      <c r="A92" s="405"/>
      <c r="B92" s="568" t="s">
        <v>504</v>
      </c>
      <c r="C92" s="538" t="s">
        <v>543</v>
      </c>
      <c r="D92" s="470">
        <v>0</v>
      </c>
      <c r="E92" s="471">
        <v>0</v>
      </c>
      <c r="F92" s="471">
        <v>0</v>
      </c>
      <c r="G92" s="471">
        <v>0</v>
      </c>
      <c r="H92" s="472">
        <v>0</v>
      </c>
      <c r="I92" s="471">
        <v>0</v>
      </c>
      <c r="J92" s="473">
        <v>0</v>
      </c>
      <c r="K92" s="473">
        <v>0</v>
      </c>
      <c r="L92" s="473">
        <v>0</v>
      </c>
      <c r="M92" s="472">
        <v>0</v>
      </c>
      <c r="N92" s="409"/>
      <c r="O92" s="406">
        <v>0</v>
      </c>
      <c r="P92" s="407">
        <v>0</v>
      </c>
      <c r="Q92" s="408">
        <v>0</v>
      </c>
      <c r="R92" s="409"/>
      <c r="S92" s="406">
        <v>0</v>
      </c>
      <c r="T92" s="1305" t="s">
        <v>814</v>
      </c>
    </row>
    <row r="93" spans="1:20" ht="12.75">
      <c r="A93" s="405"/>
      <c r="B93" s="568" t="s">
        <v>505</v>
      </c>
      <c r="C93" s="538" t="s">
        <v>543</v>
      </c>
      <c r="D93" s="470">
        <v>0</v>
      </c>
      <c r="E93" s="471">
        <v>0</v>
      </c>
      <c r="F93" s="471">
        <v>0</v>
      </c>
      <c r="G93" s="471">
        <v>0</v>
      </c>
      <c r="H93" s="472">
        <v>0</v>
      </c>
      <c r="I93" s="471">
        <v>0</v>
      </c>
      <c r="J93" s="473">
        <v>0</v>
      </c>
      <c r="K93" s="473">
        <v>0</v>
      </c>
      <c r="L93" s="473">
        <v>0</v>
      </c>
      <c r="M93" s="472">
        <v>0</v>
      </c>
      <c r="N93" s="409"/>
      <c r="O93" s="406">
        <v>0</v>
      </c>
      <c r="P93" s="407">
        <v>0</v>
      </c>
      <c r="Q93" s="408">
        <v>0</v>
      </c>
      <c r="R93" s="409"/>
      <c r="S93" s="406">
        <v>0</v>
      </c>
      <c r="T93" s="1305" t="s">
        <v>814</v>
      </c>
    </row>
    <row r="94" spans="1:20" ht="12.75">
      <c r="A94" s="405"/>
      <c r="B94" s="569" t="s">
        <v>384</v>
      </c>
      <c r="C94" s="538" t="s">
        <v>543</v>
      </c>
      <c r="D94" s="406">
        <v>0</v>
      </c>
      <c r="E94" s="474">
        <v>0</v>
      </c>
      <c r="F94" s="474">
        <v>0</v>
      </c>
      <c r="G94" s="474">
        <v>0</v>
      </c>
      <c r="H94" s="408">
        <v>0</v>
      </c>
      <c r="I94" s="474">
        <v>0</v>
      </c>
      <c r="J94" s="407">
        <v>0</v>
      </c>
      <c r="K94" s="407">
        <v>0</v>
      </c>
      <c r="L94" s="407">
        <v>0</v>
      </c>
      <c r="M94" s="408">
        <v>0</v>
      </c>
      <c r="N94" s="409"/>
      <c r="O94" s="406">
        <v>0</v>
      </c>
      <c r="P94" s="407">
        <v>0</v>
      </c>
      <c r="Q94" s="408">
        <v>0</v>
      </c>
      <c r="R94" s="409"/>
      <c r="S94" s="406">
        <v>0</v>
      </c>
      <c r="T94" s="1305" t="s">
        <v>814</v>
      </c>
    </row>
    <row r="95" spans="1:20" ht="12.75">
      <c r="A95" s="405"/>
      <c r="B95" s="571"/>
      <c r="C95" s="538"/>
      <c r="D95" s="475"/>
      <c r="E95" s="476"/>
      <c r="F95" s="476"/>
      <c r="G95" s="476"/>
      <c r="H95" s="477"/>
      <c r="I95" s="476"/>
      <c r="J95" s="476"/>
      <c r="K95" s="476"/>
      <c r="L95" s="476"/>
      <c r="M95" s="477"/>
      <c r="N95" s="409"/>
      <c r="O95" s="475"/>
      <c r="P95" s="476"/>
      <c r="Q95" s="477"/>
      <c r="R95" s="409"/>
      <c r="S95" s="475"/>
      <c r="T95" s="477"/>
    </row>
    <row r="96" spans="1:20" ht="38.25">
      <c r="A96" s="405"/>
      <c r="B96" s="571" t="s">
        <v>385</v>
      </c>
      <c r="C96" s="538" t="s">
        <v>543</v>
      </c>
      <c r="D96" s="479"/>
      <c r="E96" s="480"/>
      <c r="F96" s="480"/>
      <c r="G96" s="471">
        <v>0</v>
      </c>
      <c r="H96" s="472">
        <v>0</v>
      </c>
      <c r="I96" s="471">
        <v>0</v>
      </c>
      <c r="J96" s="473">
        <v>0</v>
      </c>
      <c r="K96" s="473">
        <v>0</v>
      </c>
      <c r="L96" s="473">
        <v>0</v>
      </c>
      <c r="M96" s="472">
        <v>0</v>
      </c>
      <c r="N96" s="409"/>
      <c r="O96" s="406">
        <v>0</v>
      </c>
      <c r="P96" s="407">
        <v>0</v>
      </c>
      <c r="Q96" s="408">
        <v>0</v>
      </c>
      <c r="R96" s="409"/>
      <c r="S96" s="406">
        <v>0</v>
      </c>
      <c r="T96" s="1305" t="s">
        <v>814</v>
      </c>
    </row>
    <row r="97" spans="1:20" ht="51">
      <c r="A97" s="405"/>
      <c r="B97" s="571" t="s">
        <v>386</v>
      </c>
      <c r="C97" s="538" t="s">
        <v>543</v>
      </c>
      <c r="D97" s="1310">
        <v>17.6</v>
      </c>
      <c r="E97" s="1313">
        <v>18.1</v>
      </c>
      <c r="F97" s="1313">
        <v>20.7</v>
      </c>
      <c r="G97" s="1313">
        <v>15.3</v>
      </c>
      <c r="H97" s="1312">
        <v>14.6</v>
      </c>
      <c r="I97" s="1313">
        <v>13.7</v>
      </c>
      <c r="J97" s="1311">
        <v>13.4</v>
      </c>
      <c r="K97" s="1311">
        <v>12.4</v>
      </c>
      <c r="L97" s="1311">
        <v>12.4</v>
      </c>
      <c r="M97" s="1312">
        <v>12.4</v>
      </c>
      <c r="N97" s="481"/>
      <c r="O97" s="1310">
        <v>56.4</v>
      </c>
      <c r="P97" s="1311">
        <v>29.9</v>
      </c>
      <c r="Q97" s="1312">
        <v>86.3</v>
      </c>
      <c r="R97" s="481"/>
      <c r="S97" s="1310">
        <v>67.5</v>
      </c>
      <c r="T97" s="1349">
        <v>-0.2178447276940905</v>
      </c>
    </row>
    <row r="98" spans="1:20" ht="12.75">
      <c r="A98" s="405"/>
      <c r="B98" s="571"/>
      <c r="C98" s="538"/>
      <c r="D98" s="475"/>
      <c r="E98" s="476"/>
      <c r="F98" s="476"/>
      <c r="G98" s="476"/>
      <c r="H98" s="477"/>
      <c r="I98" s="476"/>
      <c r="J98" s="476"/>
      <c r="K98" s="476"/>
      <c r="L98" s="476"/>
      <c r="M98" s="477"/>
      <c r="N98" s="409"/>
      <c r="O98" s="475"/>
      <c r="P98" s="476"/>
      <c r="Q98" s="477"/>
      <c r="R98" s="409"/>
      <c r="S98" s="475"/>
      <c r="T98" s="477"/>
    </row>
    <row r="99" spans="1:20" ht="25.5">
      <c r="A99" s="405"/>
      <c r="B99" s="571" t="s">
        <v>436</v>
      </c>
      <c r="C99" s="508" t="s">
        <v>543</v>
      </c>
      <c r="D99" s="479"/>
      <c r="E99" s="480"/>
      <c r="F99" s="480"/>
      <c r="G99" s="471">
        <v>0</v>
      </c>
      <c r="H99" s="472">
        <v>0</v>
      </c>
      <c r="I99" s="471">
        <v>0</v>
      </c>
      <c r="J99" s="473">
        <v>0</v>
      </c>
      <c r="K99" s="473">
        <v>0</v>
      </c>
      <c r="L99" s="473">
        <v>0</v>
      </c>
      <c r="M99" s="472">
        <v>0</v>
      </c>
      <c r="N99" s="409"/>
      <c r="O99" s="406">
        <v>0</v>
      </c>
      <c r="P99" s="407">
        <v>0</v>
      </c>
      <c r="Q99" s="408">
        <v>0</v>
      </c>
      <c r="R99" s="409"/>
      <c r="S99" s="406">
        <v>0</v>
      </c>
      <c r="T99" s="1305" t="s">
        <v>814</v>
      </c>
    </row>
    <row r="100" spans="1:20" ht="26.25" thickBot="1">
      <c r="A100" s="405"/>
      <c r="B100" s="572" t="s">
        <v>437</v>
      </c>
      <c r="C100" s="553" t="s">
        <v>543</v>
      </c>
      <c r="D100" s="482"/>
      <c r="E100" s="483"/>
      <c r="F100" s="483"/>
      <c r="G100" s="484">
        <v>0</v>
      </c>
      <c r="H100" s="485">
        <v>0</v>
      </c>
      <c r="I100" s="484">
        <v>0</v>
      </c>
      <c r="J100" s="486">
        <v>0</v>
      </c>
      <c r="K100" s="486">
        <v>0</v>
      </c>
      <c r="L100" s="486">
        <v>0</v>
      </c>
      <c r="M100" s="485">
        <v>0</v>
      </c>
      <c r="N100" s="409"/>
      <c r="O100" s="410">
        <v>0</v>
      </c>
      <c r="P100" s="411">
        <v>0</v>
      </c>
      <c r="Q100" s="412">
        <v>0</v>
      </c>
      <c r="R100" s="409"/>
      <c r="S100" s="410">
        <v>0</v>
      </c>
      <c r="T100" s="1318" t="s">
        <v>814</v>
      </c>
    </row>
    <row r="101" spans="1:20" ht="12.75">
      <c r="A101" s="405"/>
      <c r="B101" s="405"/>
      <c r="C101" s="405"/>
      <c r="D101" s="405"/>
      <c r="E101" s="405"/>
      <c r="F101" s="405"/>
      <c r="G101" s="405"/>
      <c r="H101" s="405"/>
      <c r="I101" s="405"/>
      <c r="J101" s="405"/>
      <c r="K101" s="405"/>
      <c r="L101" s="405"/>
      <c r="M101" s="405"/>
      <c r="N101" s="405"/>
      <c r="O101" s="405"/>
      <c r="P101" s="405"/>
      <c r="Q101" s="405"/>
      <c r="R101" s="405"/>
      <c r="S101" s="405"/>
      <c r="T101" s="405"/>
    </row>
    <row r="102" spans="1:20" ht="12.75">
      <c r="A102" s="405"/>
      <c r="B102" s="405"/>
      <c r="C102" s="488"/>
      <c r="D102" s="511"/>
      <c r="E102" s="511"/>
      <c r="F102" s="511"/>
      <c r="G102" s="511"/>
      <c r="H102" s="511"/>
      <c r="I102" s="511"/>
      <c r="J102" s="511"/>
      <c r="K102" s="511"/>
      <c r="L102" s="511"/>
      <c r="M102" s="511"/>
      <c r="N102" s="409"/>
      <c r="O102" s="511"/>
      <c r="P102" s="511"/>
      <c r="Q102" s="511"/>
      <c r="R102" s="409"/>
      <c r="S102" s="511"/>
      <c r="T102" s="511"/>
    </row>
    <row r="103" spans="1:20" ht="12.75">
      <c r="A103" s="405"/>
      <c r="B103" s="487" t="s">
        <v>671</v>
      </c>
      <c r="C103" s="557"/>
      <c r="D103" s="558"/>
      <c r="E103" s="558"/>
      <c r="F103" s="558"/>
      <c r="G103" s="558"/>
      <c r="H103" s="558"/>
      <c r="I103" s="558"/>
      <c r="J103" s="558"/>
      <c r="K103" s="558"/>
      <c r="L103" s="558"/>
      <c r="M103" s="558"/>
      <c r="N103" s="409"/>
      <c r="O103" s="558"/>
      <c r="P103" s="558"/>
      <c r="Q103" s="558"/>
      <c r="R103" s="409"/>
      <c r="S103" s="558"/>
      <c r="T103" s="558"/>
    </row>
    <row r="104" spans="1:20" ht="13.5" thickBot="1">
      <c r="A104" s="405"/>
      <c r="B104" s="487"/>
      <c r="C104" s="557"/>
      <c r="D104" s="558"/>
      <c r="E104" s="558"/>
      <c r="F104" s="558"/>
      <c r="G104" s="558"/>
      <c r="H104" s="558"/>
      <c r="I104" s="558"/>
      <c r="J104" s="558"/>
      <c r="K104" s="558"/>
      <c r="L104" s="558"/>
      <c r="M104" s="558"/>
      <c r="N104" s="409"/>
      <c r="O104" s="558"/>
      <c r="P104" s="558"/>
      <c r="Q104" s="558"/>
      <c r="R104" s="409"/>
      <c r="S104" s="558"/>
      <c r="T104" s="558"/>
    </row>
    <row r="105" spans="1:20" ht="12.75">
      <c r="A105" s="405"/>
      <c r="B105" s="559"/>
      <c r="C105" s="533"/>
      <c r="D105" s="1319" t="s">
        <v>646</v>
      </c>
      <c r="E105" s="1320"/>
      <c r="F105" s="1320"/>
      <c r="G105" s="1320"/>
      <c r="H105" s="493"/>
      <c r="I105" s="1320" t="s">
        <v>647</v>
      </c>
      <c r="J105" s="494"/>
      <c r="K105" s="494"/>
      <c r="L105" s="494"/>
      <c r="M105" s="493"/>
      <c r="N105" s="409"/>
      <c r="O105" s="1343" t="s">
        <v>646</v>
      </c>
      <c r="P105" s="1344"/>
      <c r="Q105" s="1345"/>
      <c r="R105" s="409"/>
      <c r="S105" s="1343" t="s">
        <v>647</v>
      </c>
      <c r="T105" s="1345"/>
    </row>
    <row r="106" spans="1:20" ht="25.5">
      <c r="A106" s="405"/>
      <c r="B106" s="560" t="s">
        <v>671</v>
      </c>
      <c r="C106" s="534" t="s">
        <v>560</v>
      </c>
      <c r="D106" s="1321" t="s">
        <v>561</v>
      </c>
      <c r="E106" s="1322" t="s">
        <v>562</v>
      </c>
      <c r="F106" s="1322" t="s">
        <v>558</v>
      </c>
      <c r="G106" s="1322" t="s">
        <v>563</v>
      </c>
      <c r="H106" s="1323" t="s">
        <v>564</v>
      </c>
      <c r="I106" s="1324" t="s">
        <v>648</v>
      </c>
      <c r="J106" s="1322" t="s">
        <v>667</v>
      </c>
      <c r="K106" s="1322" t="s">
        <v>668</v>
      </c>
      <c r="L106" s="1322" t="s">
        <v>669</v>
      </c>
      <c r="M106" s="1323" t="s">
        <v>670</v>
      </c>
      <c r="N106" s="409"/>
      <c r="O106" s="1346" t="s">
        <v>657</v>
      </c>
      <c r="P106" s="1347" t="s">
        <v>658</v>
      </c>
      <c r="Q106" s="1348" t="s">
        <v>810</v>
      </c>
      <c r="R106" s="409"/>
      <c r="S106" s="1346" t="s">
        <v>658</v>
      </c>
      <c r="T106" s="1348" t="s">
        <v>659</v>
      </c>
    </row>
    <row r="107" spans="1:20" ht="12.75">
      <c r="A107" s="405"/>
      <c r="B107" s="563" t="s">
        <v>672</v>
      </c>
      <c r="C107" s="564"/>
      <c r="D107" s="514"/>
      <c r="E107" s="515"/>
      <c r="F107" s="515"/>
      <c r="G107" s="515"/>
      <c r="H107" s="516"/>
      <c r="I107" s="515"/>
      <c r="J107" s="515"/>
      <c r="K107" s="515"/>
      <c r="L107" s="515"/>
      <c r="M107" s="516"/>
      <c r="N107" s="409"/>
      <c r="O107" s="565"/>
      <c r="P107" s="566"/>
      <c r="Q107" s="567"/>
      <c r="R107" s="409"/>
      <c r="S107" s="514"/>
      <c r="T107" s="516"/>
    </row>
    <row r="108" spans="1:20" ht="12.75">
      <c r="A108" s="405"/>
      <c r="B108" s="568" t="s">
        <v>504</v>
      </c>
      <c r="C108" s="538" t="s">
        <v>543</v>
      </c>
      <c r="D108" s="470">
        <v>14.1</v>
      </c>
      <c r="E108" s="471">
        <v>12</v>
      </c>
      <c r="F108" s="471">
        <v>13.8</v>
      </c>
      <c r="G108" s="471">
        <v>11.3</v>
      </c>
      <c r="H108" s="472">
        <v>10.9</v>
      </c>
      <c r="I108" s="471">
        <v>10</v>
      </c>
      <c r="J108" s="473">
        <v>9.8</v>
      </c>
      <c r="K108" s="473">
        <v>9</v>
      </c>
      <c r="L108" s="473">
        <v>9</v>
      </c>
      <c r="M108" s="472">
        <v>9</v>
      </c>
      <c r="N108" s="409"/>
      <c r="O108" s="406">
        <v>39.9</v>
      </c>
      <c r="P108" s="407">
        <v>22.2</v>
      </c>
      <c r="Q108" s="408">
        <v>62.1</v>
      </c>
      <c r="R108" s="409"/>
      <c r="S108" s="406">
        <v>46.9</v>
      </c>
      <c r="T108" s="1305">
        <v>-0.24476650563607089</v>
      </c>
    </row>
    <row r="109" spans="1:20" ht="12.75">
      <c r="A109" s="405"/>
      <c r="B109" s="568" t="s">
        <v>673</v>
      </c>
      <c r="C109" s="538" t="s">
        <v>543</v>
      </c>
      <c r="D109" s="470">
        <v>0.1</v>
      </c>
      <c r="E109" s="471">
        <v>0.4</v>
      </c>
      <c r="F109" s="471">
        <v>0.9</v>
      </c>
      <c r="G109" s="471">
        <v>0.4</v>
      </c>
      <c r="H109" s="472">
        <v>0.4</v>
      </c>
      <c r="I109" s="471">
        <v>1.3</v>
      </c>
      <c r="J109" s="473">
        <v>1.3</v>
      </c>
      <c r="K109" s="473">
        <v>1.1</v>
      </c>
      <c r="L109" s="473">
        <v>1.1</v>
      </c>
      <c r="M109" s="472">
        <v>1.1</v>
      </c>
      <c r="N109" s="409"/>
      <c r="O109" s="406">
        <v>1.4</v>
      </c>
      <c r="P109" s="407">
        <v>0.8</v>
      </c>
      <c r="Q109" s="408">
        <v>2.2</v>
      </c>
      <c r="R109" s="409"/>
      <c r="S109" s="406">
        <v>1.6</v>
      </c>
      <c r="T109" s="1305">
        <v>-0.2727272727272726</v>
      </c>
    </row>
    <row r="110" spans="1:20" ht="12.75">
      <c r="A110" s="405"/>
      <c r="B110" s="569" t="s">
        <v>506</v>
      </c>
      <c r="C110" s="538" t="s">
        <v>543</v>
      </c>
      <c r="D110" s="406">
        <v>14.2</v>
      </c>
      <c r="E110" s="474">
        <v>12.4</v>
      </c>
      <c r="F110" s="474">
        <v>14.7</v>
      </c>
      <c r="G110" s="474">
        <v>11.7</v>
      </c>
      <c r="H110" s="408">
        <v>11.3</v>
      </c>
      <c r="I110" s="474">
        <v>11.3</v>
      </c>
      <c r="J110" s="407">
        <v>11.1</v>
      </c>
      <c r="K110" s="407">
        <v>10.1</v>
      </c>
      <c r="L110" s="407">
        <v>10.1</v>
      </c>
      <c r="M110" s="408">
        <v>10.1</v>
      </c>
      <c r="N110" s="409"/>
      <c r="O110" s="406">
        <v>41.3</v>
      </c>
      <c r="P110" s="407">
        <v>23</v>
      </c>
      <c r="Q110" s="408">
        <v>64.3</v>
      </c>
      <c r="R110" s="409"/>
      <c r="S110" s="406">
        <v>48.5</v>
      </c>
      <c r="T110" s="1305">
        <v>-0.24572317262830495</v>
      </c>
    </row>
    <row r="111" spans="1:20" ht="12.75">
      <c r="A111" s="405"/>
      <c r="B111" s="563" t="s">
        <v>519</v>
      </c>
      <c r="C111" s="570"/>
      <c r="D111" s="475"/>
      <c r="E111" s="476"/>
      <c r="F111" s="476"/>
      <c r="G111" s="476"/>
      <c r="H111" s="477"/>
      <c r="I111" s="476"/>
      <c r="J111" s="476"/>
      <c r="K111" s="476"/>
      <c r="L111" s="476"/>
      <c r="M111" s="477"/>
      <c r="N111" s="409"/>
      <c r="O111" s="478"/>
      <c r="P111" s="476"/>
      <c r="Q111" s="477"/>
      <c r="R111" s="409"/>
      <c r="S111" s="475"/>
      <c r="T111" s="477"/>
    </row>
    <row r="112" spans="1:20" ht="12.75">
      <c r="A112" s="405"/>
      <c r="B112" s="568" t="s">
        <v>504</v>
      </c>
      <c r="C112" s="538" t="s">
        <v>543</v>
      </c>
      <c r="D112" s="470">
        <v>2.2</v>
      </c>
      <c r="E112" s="471">
        <v>3.2</v>
      </c>
      <c r="F112" s="471">
        <v>2.5</v>
      </c>
      <c r="G112" s="471">
        <v>1.7</v>
      </c>
      <c r="H112" s="472">
        <v>1.9</v>
      </c>
      <c r="I112" s="471">
        <v>1.1</v>
      </c>
      <c r="J112" s="473">
        <v>1</v>
      </c>
      <c r="K112" s="473">
        <v>1</v>
      </c>
      <c r="L112" s="473">
        <v>1</v>
      </c>
      <c r="M112" s="472">
        <v>1</v>
      </c>
      <c r="N112" s="409"/>
      <c r="O112" s="406">
        <v>7.9</v>
      </c>
      <c r="P112" s="407">
        <v>3.6</v>
      </c>
      <c r="Q112" s="408">
        <v>11.5</v>
      </c>
      <c r="R112" s="409"/>
      <c r="S112" s="406">
        <v>11.9</v>
      </c>
      <c r="T112" s="1305">
        <v>0.03478260869565205</v>
      </c>
    </row>
    <row r="113" spans="1:20" ht="12.75">
      <c r="A113" s="405"/>
      <c r="B113" s="568" t="s">
        <v>673</v>
      </c>
      <c r="C113" s="538" t="s">
        <v>543</v>
      </c>
      <c r="D113" s="470">
        <v>0</v>
      </c>
      <c r="E113" s="471">
        <v>0</v>
      </c>
      <c r="F113" s="471">
        <v>0.2</v>
      </c>
      <c r="G113" s="471">
        <v>0.2</v>
      </c>
      <c r="H113" s="472">
        <v>0.2</v>
      </c>
      <c r="I113" s="471">
        <v>1.3</v>
      </c>
      <c r="J113" s="473">
        <v>1.3</v>
      </c>
      <c r="K113" s="473">
        <v>1.3</v>
      </c>
      <c r="L113" s="473">
        <v>1.3</v>
      </c>
      <c r="M113" s="472">
        <v>1.3</v>
      </c>
      <c r="N113" s="409"/>
      <c r="O113" s="406">
        <v>0.2</v>
      </c>
      <c r="P113" s="407">
        <v>0.4</v>
      </c>
      <c r="Q113" s="408">
        <v>0.6</v>
      </c>
      <c r="R113" s="409"/>
      <c r="S113" s="406">
        <v>1.8</v>
      </c>
      <c r="T113" s="1305">
        <v>2</v>
      </c>
    </row>
    <row r="114" spans="1:20" ht="12.75">
      <c r="A114" s="405"/>
      <c r="B114" s="569" t="s">
        <v>507</v>
      </c>
      <c r="C114" s="538" t="s">
        <v>543</v>
      </c>
      <c r="D114" s="406">
        <v>2.2</v>
      </c>
      <c r="E114" s="474">
        <v>3.2</v>
      </c>
      <c r="F114" s="474">
        <v>2.7</v>
      </c>
      <c r="G114" s="474">
        <v>1.9</v>
      </c>
      <c r="H114" s="408">
        <v>2.1</v>
      </c>
      <c r="I114" s="474">
        <v>2.4</v>
      </c>
      <c r="J114" s="407">
        <v>2.3</v>
      </c>
      <c r="K114" s="407">
        <v>2.3</v>
      </c>
      <c r="L114" s="407">
        <v>2.3</v>
      </c>
      <c r="M114" s="408">
        <v>2.3</v>
      </c>
      <c r="N114" s="409"/>
      <c r="O114" s="406">
        <v>8.1</v>
      </c>
      <c r="P114" s="407">
        <v>4</v>
      </c>
      <c r="Q114" s="408">
        <v>12.1</v>
      </c>
      <c r="R114" s="409"/>
      <c r="S114" s="406">
        <v>13.7</v>
      </c>
      <c r="T114" s="1305">
        <v>0.1322314049586775</v>
      </c>
    </row>
    <row r="115" spans="1:20" ht="12.75">
      <c r="A115" s="405"/>
      <c r="B115" s="563" t="s">
        <v>399</v>
      </c>
      <c r="C115" s="570"/>
      <c r="D115" s="475"/>
      <c r="E115" s="476"/>
      <c r="F115" s="476"/>
      <c r="G115" s="476"/>
      <c r="H115" s="477"/>
      <c r="I115" s="476"/>
      <c r="J115" s="476"/>
      <c r="K115" s="476"/>
      <c r="L115" s="476"/>
      <c r="M115" s="477"/>
      <c r="N115" s="409"/>
      <c r="O115" s="475"/>
      <c r="P115" s="476"/>
      <c r="Q115" s="477"/>
      <c r="R115" s="409"/>
      <c r="S115" s="475"/>
      <c r="T115" s="477"/>
    </row>
    <row r="116" spans="1:20" ht="12.75">
      <c r="A116" s="405"/>
      <c r="B116" s="568" t="s">
        <v>504</v>
      </c>
      <c r="C116" s="538" t="s">
        <v>543</v>
      </c>
      <c r="D116" s="470">
        <v>0.6</v>
      </c>
      <c r="E116" s="471">
        <v>1.2</v>
      </c>
      <c r="F116" s="471">
        <v>0.5</v>
      </c>
      <c r="G116" s="471">
        <v>0.4</v>
      </c>
      <c r="H116" s="472">
        <v>0</v>
      </c>
      <c r="I116" s="471">
        <v>0</v>
      </c>
      <c r="J116" s="471">
        <v>0</v>
      </c>
      <c r="K116" s="471">
        <v>0</v>
      </c>
      <c r="L116" s="471">
        <v>0</v>
      </c>
      <c r="M116" s="471">
        <v>0</v>
      </c>
      <c r="N116" s="409"/>
      <c r="O116" s="406">
        <v>2.3</v>
      </c>
      <c r="P116" s="407">
        <v>0.4</v>
      </c>
      <c r="Q116" s="408">
        <v>2.7</v>
      </c>
      <c r="R116" s="409"/>
      <c r="S116" s="406">
        <v>0.8</v>
      </c>
      <c r="T116" s="1305">
        <v>-0.7037037037037036</v>
      </c>
    </row>
    <row r="117" spans="1:20" ht="12.75">
      <c r="A117" s="405"/>
      <c r="B117" s="568" t="s">
        <v>673</v>
      </c>
      <c r="C117" s="538" t="s">
        <v>543</v>
      </c>
      <c r="D117" s="470">
        <v>0</v>
      </c>
      <c r="E117" s="471">
        <v>0.3</v>
      </c>
      <c r="F117" s="471">
        <v>1.1</v>
      </c>
      <c r="G117" s="471">
        <v>0.15</v>
      </c>
      <c r="H117" s="472">
        <v>0.1</v>
      </c>
      <c r="I117" s="471">
        <v>0</v>
      </c>
      <c r="J117" s="471">
        <v>0</v>
      </c>
      <c r="K117" s="471">
        <v>0</v>
      </c>
      <c r="L117" s="471">
        <v>0</v>
      </c>
      <c r="M117" s="471">
        <v>0</v>
      </c>
      <c r="N117" s="409"/>
      <c r="O117" s="406">
        <v>1.4</v>
      </c>
      <c r="P117" s="407">
        <v>0.25</v>
      </c>
      <c r="Q117" s="408">
        <v>1.65</v>
      </c>
      <c r="R117" s="409"/>
      <c r="S117" s="406">
        <v>0.3</v>
      </c>
      <c r="T117" s="1305">
        <v>-0.8181818181818181</v>
      </c>
    </row>
    <row r="118" spans="1:20" ht="12.75">
      <c r="A118" s="405"/>
      <c r="B118" s="569" t="s">
        <v>508</v>
      </c>
      <c r="C118" s="538" t="s">
        <v>543</v>
      </c>
      <c r="D118" s="406">
        <v>0.6</v>
      </c>
      <c r="E118" s="474">
        <v>1.5</v>
      </c>
      <c r="F118" s="474">
        <v>1.6</v>
      </c>
      <c r="G118" s="474">
        <v>0.55</v>
      </c>
      <c r="H118" s="408">
        <v>0.1</v>
      </c>
      <c r="I118" s="474">
        <v>0</v>
      </c>
      <c r="J118" s="407">
        <v>0.55</v>
      </c>
      <c r="K118" s="407">
        <v>0</v>
      </c>
      <c r="L118" s="407">
        <v>0</v>
      </c>
      <c r="M118" s="408">
        <v>0.55</v>
      </c>
      <c r="N118" s="409"/>
      <c r="O118" s="406">
        <v>3.7</v>
      </c>
      <c r="P118" s="407">
        <v>0.65</v>
      </c>
      <c r="Q118" s="408">
        <v>4.35</v>
      </c>
      <c r="R118" s="409"/>
      <c r="S118" s="406">
        <v>1.1</v>
      </c>
      <c r="T118" s="1305">
        <v>-0.7471264367816092</v>
      </c>
    </row>
    <row r="119" spans="1:20" ht="12.75">
      <c r="A119" s="405"/>
      <c r="B119" s="563" t="s">
        <v>288</v>
      </c>
      <c r="C119" s="570"/>
      <c r="D119" s="475"/>
      <c r="E119" s="476"/>
      <c r="F119" s="476"/>
      <c r="G119" s="476"/>
      <c r="H119" s="477"/>
      <c r="I119" s="476"/>
      <c r="J119" s="476"/>
      <c r="K119" s="476"/>
      <c r="L119" s="476"/>
      <c r="M119" s="477"/>
      <c r="N119" s="409"/>
      <c r="O119" s="475"/>
      <c r="P119" s="476"/>
      <c r="Q119" s="477"/>
      <c r="R119" s="409"/>
      <c r="S119" s="475"/>
      <c r="T119" s="477"/>
    </row>
    <row r="120" spans="1:20" ht="12.75">
      <c r="A120" s="405"/>
      <c r="B120" s="568" t="s">
        <v>504</v>
      </c>
      <c r="C120" s="538" t="s">
        <v>543</v>
      </c>
      <c r="D120" s="470">
        <v>0</v>
      </c>
      <c r="E120" s="471">
        <v>0</v>
      </c>
      <c r="F120" s="471">
        <v>0</v>
      </c>
      <c r="G120" s="471">
        <v>0</v>
      </c>
      <c r="H120" s="472">
        <v>0</v>
      </c>
      <c r="I120" s="471">
        <v>0</v>
      </c>
      <c r="J120" s="473">
        <v>0</v>
      </c>
      <c r="K120" s="473">
        <v>0</v>
      </c>
      <c r="L120" s="473">
        <v>0</v>
      </c>
      <c r="M120" s="472">
        <v>0</v>
      </c>
      <c r="N120" s="409"/>
      <c r="O120" s="406">
        <v>0</v>
      </c>
      <c r="P120" s="407">
        <v>0</v>
      </c>
      <c r="Q120" s="408">
        <v>0</v>
      </c>
      <c r="R120" s="409"/>
      <c r="S120" s="406">
        <v>0</v>
      </c>
      <c r="T120" s="1305" t="s">
        <v>814</v>
      </c>
    </row>
    <row r="121" spans="1:20" ht="12.75">
      <c r="A121" s="405"/>
      <c r="B121" s="568" t="s">
        <v>673</v>
      </c>
      <c r="C121" s="538" t="s">
        <v>543</v>
      </c>
      <c r="D121" s="470">
        <v>0</v>
      </c>
      <c r="E121" s="471">
        <v>0</v>
      </c>
      <c r="F121" s="471">
        <v>0</v>
      </c>
      <c r="G121" s="471">
        <v>0</v>
      </c>
      <c r="H121" s="472">
        <v>0</v>
      </c>
      <c r="I121" s="471">
        <v>0</v>
      </c>
      <c r="J121" s="473">
        <v>0</v>
      </c>
      <c r="K121" s="473">
        <v>0</v>
      </c>
      <c r="L121" s="473">
        <v>0</v>
      </c>
      <c r="M121" s="472">
        <v>0</v>
      </c>
      <c r="N121" s="409"/>
      <c r="O121" s="406">
        <v>0</v>
      </c>
      <c r="P121" s="407">
        <v>0</v>
      </c>
      <c r="Q121" s="408">
        <v>0</v>
      </c>
      <c r="R121" s="409"/>
      <c r="S121" s="406">
        <v>0</v>
      </c>
      <c r="T121" s="1305" t="s">
        <v>814</v>
      </c>
    </row>
    <row r="122" spans="1:20" ht="12.75">
      <c r="A122" s="405"/>
      <c r="B122" s="569" t="s">
        <v>384</v>
      </c>
      <c r="C122" s="538" t="s">
        <v>543</v>
      </c>
      <c r="D122" s="406">
        <v>0</v>
      </c>
      <c r="E122" s="474">
        <v>0</v>
      </c>
      <c r="F122" s="474">
        <v>0</v>
      </c>
      <c r="G122" s="474">
        <v>0</v>
      </c>
      <c r="H122" s="408">
        <v>0</v>
      </c>
      <c r="I122" s="474">
        <v>0</v>
      </c>
      <c r="J122" s="407">
        <v>0</v>
      </c>
      <c r="K122" s="407">
        <v>0</v>
      </c>
      <c r="L122" s="407">
        <v>0</v>
      </c>
      <c r="M122" s="408">
        <v>0</v>
      </c>
      <c r="N122" s="409"/>
      <c r="O122" s="406">
        <v>0</v>
      </c>
      <c r="P122" s="407">
        <v>0</v>
      </c>
      <c r="Q122" s="408">
        <v>0</v>
      </c>
      <c r="R122" s="409"/>
      <c r="S122" s="406">
        <v>0</v>
      </c>
      <c r="T122" s="1305" t="s">
        <v>814</v>
      </c>
    </row>
    <row r="123" spans="1:20" ht="12.75">
      <c r="A123" s="405"/>
      <c r="B123" s="571"/>
      <c r="C123" s="538"/>
      <c r="D123" s="475"/>
      <c r="E123" s="476"/>
      <c r="F123" s="476"/>
      <c r="G123" s="476"/>
      <c r="H123" s="477"/>
      <c r="I123" s="476"/>
      <c r="J123" s="476"/>
      <c r="K123" s="476"/>
      <c r="L123" s="476"/>
      <c r="M123" s="477"/>
      <c r="N123" s="409"/>
      <c r="O123" s="475"/>
      <c r="P123" s="476"/>
      <c r="Q123" s="477"/>
      <c r="R123" s="409"/>
      <c r="S123" s="475"/>
      <c r="T123" s="477"/>
    </row>
    <row r="124" spans="1:20" ht="12.75">
      <c r="A124" s="405"/>
      <c r="B124" s="563" t="s">
        <v>160</v>
      </c>
      <c r="C124" s="508" t="s">
        <v>543</v>
      </c>
      <c r="D124" s="1313">
        <v>17</v>
      </c>
      <c r="E124" s="1313">
        <v>17.1</v>
      </c>
      <c r="F124" s="1313">
        <v>19</v>
      </c>
      <c r="G124" s="1313">
        <v>14.15</v>
      </c>
      <c r="H124" s="1312">
        <v>13.5</v>
      </c>
      <c r="I124" s="1313">
        <v>13.7</v>
      </c>
      <c r="J124" s="1311">
        <v>13.4</v>
      </c>
      <c r="K124" s="1311">
        <v>12.4</v>
      </c>
      <c r="L124" s="1311">
        <v>12.4</v>
      </c>
      <c r="M124" s="1312">
        <v>12.4</v>
      </c>
      <c r="N124" s="481"/>
      <c r="O124" s="1310">
        <v>53.1</v>
      </c>
      <c r="P124" s="1311">
        <v>27.65</v>
      </c>
      <c r="Q124" s="1312">
        <v>80.75</v>
      </c>
      <c r="R124" s="481"/>
      <c r="S124" s="1310">
        <v>63.3</v>
      </c>
      <c r="T124" s="1349">
        <v>-0.21609907120743044</v>
      </c>
    </row>
    <row r="125" spans="1:20" ht="12.75">
      <c r="A125" s="405"/>
      <c r="B125" s="563" t="s">
        <v>161</v>
      </c>
      <c r="C125" s="508" t="s">
        <v>543</v>
      </c>
      <c r="D125" s="470">
        <v>-0.7</v>
      </c>
      <c r="E125" s="471">
        <v>3.8</v>
      </c>
      <c r="F125" s="471">
        <v>5.8</v>
      </c>
      <c r="G125" s="471">
        <v>5.4</v>
      </c>
      <c r="H125" s="472">
        <v>5.1</v>
      </c>
      <c r="I125" s="471">
        <v>4.8</v>
      </c>
      <c r="J125" s="473">
        <v>5</v>
      </c>
      <c r="K125" s="473">
        <v>4.7</v>
      </c>
      <c r="L125" s="473">
        <v>4.7</v>
      </c>
      <c r="M125" s="472">
        <v>4.9</v>
      </c>
      <c r="N125" s="481"/>
      <c r="O125" s="1310">
        <v>8.9</v>
      </c>
      <c r="P125" s="1311">
        <v>10.5</v>
      </c>
      <c r="Q125" s="1312">
        <v>19.4</v>
      </c>
      <c r="R125" s="481"/>
      <c r="S125" s="1310">
        <v>24.1</v>
      </c>
      <c r="T125" s="1349">
        <v>0.24226804123711357</v>
      </c>
    </row>
    <row r="126" spans="1:20" ht="12.75">
      <c r="A126" s="405"/>
      <c r="B126" s="563" t="s">
        <v>162</v>
      </c>
      <c r="C126" s="508" t="s">
        <v>543</v>
      </c>
      <c r="D126" s="1310">
        <v>16.3</v>
      </c>
      <c r="E126" s="1313">
        <v>20.9</v>
      </c>
      <c r="F126" s="1313">
        <v>24.8</v>
      </c>
      <c r="G126" s="1313">
        <v>19.55</v>
      </c>
      <c r="H126" s="1312">
        <v>18.6</v>
      </c>
      <c r="I126" s="1313">
        <f>+I125+I124</f>
        <v>18.5</v>
      </c>
      <c r="J126" s="1313">
        <f>+J125+J124</f>
        <v>18.4</v>
      </c>
      <c r="K126" s="1313">
        <f>+K125+K124</f>
        <v>17.1</v>
      </c>
      <c r="L126" s="1313">
        <f>+L125+L124</f>
        <v>17.1</v>
      </c>
      <c r="M126" s="1313">
        <f>+M125+M124</f>
        <v>17.3</v>
      </c>
      <c r="N126" s="481"/>
      <c r="O126" s="1310">
        <v>62</v>
      </c>
      <c r="P126" s="1311">
        <v>38.15</v>
      </c>
      <c r="Q126" s="1312">
        <v>100.15</v>
      </c>
      <c r="R126" s="481"/>
      <c r="S126" s="1310">
        <v>87.4</v>
      </c>
      <c r="T126" s="1349">
        <v>-0.127309036445332</v>
      </c>
    </row>
    <row r="127" spans="1:20" ht="12.75">
      <c r="A127" s="405"/>
      <c r="B127" s="563"/>
      <c r="C127" s="520"/>
      <c r="D127" s="565"/>
      <c r="E127" s="566"/>
      <c r="F127" s="566"/>
      <c r="G127" s="566"/>
      <c r="H127" s="567"/>
      <c r="I127" s="566"/>
      <c r="J127" s="566"/>
      <c r="K127" s="566"/>
      <c r="L127" s="566"/>
      <c r="M127" s="567"/>
      <c r="N127" s="409"/>
      <c r="O127" s="475"/>
      <c r="P127" s="476"/>
      <c r="Q127" s="477"/>
      <c r="R127" s="409"/>
      <c r="S127" s="475"/>
      <c r="T127" s="477"/>
    </row>
    <row r="128" spans="1:20" ht="13.5" thickBot="1">
      <c r="A128" s="405"/>
      <c r="B128" s="573" t="s">
        <v>204</v>
      </c>
      <c r="C128" s="510" t="s">
        <v>543</v>
      </c>
      <c r="D128" s="1317">
        <v>1.3</v>
      </c>
      <c r="E128" s="1317">
        <v>-2.8</v>
      </c>
      <c r="F128" s="1317">
        <v>-4.100000000000005</v>
      </c>
      <c r="G128" s="1317">
        <v>-4.25</v>
      </c>
      <c r="H128" s="1316">
        <v>-4</v>
      </c>
      <c r="I128" s="1317">
        <v>-4.1</v>
      </c>
      <c r="J128" s="1315">
        <v>-4.05</v>
      </c>
      <c r="K128" s="1315">
        <v>-3.9</v>
      </c>
      <c r="L128" s="1315">
        <v>-3.9</v>
      </c>
      <c r="M128" s="1316">
        <v>-3.95</v>
      </c>
      <c r="N128" s="481"/>
      <c r="O128" s="1314">
        <v>-5.6000000000000085</v>
      </c>
      <c r="P128" s="1315">
        <v>-8.25</v>
      </c>
      <c r="Q128" s="1316">
        <v>-13.85</v>
      </c>
      <c r="R128" s="481"/>
      <c r="S128" s="1314">
        <v>-19.9</v>
      </c>
      <c r="T128" s="1350">
        <v>0.43682310469313945</v>
      </c>
    </row>
    <row r="129" spans="1:20" ht="12.75">
      <c r="A129" s="405"/>
      <c r="B129" s="405"/>
      <c r="C129" s="488"/>
      <c r="D129" s="511"/>
      <c r="E129" s="511"/>
      <c r="F129" s="511"/>
      <c r="G129" s="511"/>
      <c r="H129" s="511"/>
      <c r="I129" s="511"/>
      <c r="J129" s="511"/>
      <c r="K129" s="511"/>
      <c r="L129" s="511"/>
      <c r="M129" s="511"/>
      <c r="N129" s="511"/>
      <c r="O129" s="511"/>
      <c r="P129" s="511"/>
      <c r="Q129" s="511"/>
      <c r="R129" s="511"/>
      <c r="S129" s="511"/>
      <c r="T129" s="511"/>
    </row>
    <row r="130" spans="1:20" ht="13.5" thickBot="1">
      <c r="A130" s="405"/>
      <c r="B130" s="405"/>
      <c r="C130" s="488"/>
      <c r="D130" s="511"/>
      <c r="E130" s="511"/>
      <c r="F130" s="511"/>
      <c r="G130" s="511"/>
      <c r="H130" s="511"/>
      <c r="I130" s="511"/>
      <c r="J130" s="511"/>
      <c r="K130" s="511"/>
      <c r="L130" s="511"/>
      <c r="M130" s="511"/>
      <c r="N130" s="511"/>
      <c r="O130" s="511"/>
      <c r="P130" s="511"/>
      <c r="Q130" s="511"/>
      <c r="R130" s="511"/>
      <c r="S130" s="511"/>
      <c r="T130" s="511"/>
    </row>
    <row r="131" spans="1:20" ht="12.75">
      <c r="A131" s="405"/>
      <c r="B131" s="559"/>
      <c r="C131" s="490"/>
      <c r="D131" s="1319" t="s">
        <v>646</v>
      </c>
      <c r="E131" s="1320"/>
      <c r="F131" s="1320"/>
      <c r="G131" s="1320"/>
      <c r="H131" s="493"/>
      <c r="I131" s="1320" t="s">
        <v>647</v>
      </c>
      <c r="J131" s="494"/>
      <c r="K131" s="494"/>
      <c r="L131" s="494"/>
      <c r="M131" s="493"/>
      <c r="N131" s="409"/>
      <c r="O131" s="1343" t="s">
        <v>646</v>
      </c>
      <c r="P131" s="1344"/>
      <c r="Q131" s="1345"/>
      <c r="R131" s="409"/>
      <c r="S131" s="1343" t="s">
        <v>647</v>
      </c>
      <c r="T131" s="1345"/>
    </row>
    <row r="132" spans="1:20" ht="25.5">
      <c r="A132" s="405"/>
      <c r="B132" s="529"/>
      <c r="C132" s="499" t="s">
        <v>560</v>
      </c>
      <c r="D132" s="1321" t="s">
        <v>561</v>
      </c>
      <c r="E132" s="1322" t="s">
        <v>562</v>
      </c>
      <c r="F132" s="1322" t="s">
        <v>558</v>
      </c>
      <c r="G132" s="1322" t="s">
        <v>563</v>
      </c>
      <c r="H132" s="1323" t="s">
        <v>564</v>
      </c>
      <c r="I132" s="1324" t="s">
        <v>648</v>
      </c>
      <c r="J132" s="1322" t="s">
        <v>667</v>
      </c>
      <c r="K132" s="1322" t="s">
        <v>668</v>
      </c>
      <c r="L132" s="1322" t="s">
        <v>669</v>
      </c>
      <c r="M132" s="1323" t="s">
        <v>670</v>
      </c>
      <c r="N132" s="409"/>
      <c r="O132" s="1346" t="s">
        <v>657</v>
      </c>
      <c r="P132" s="1347" t="s">
        <v>658</v>
      </c>
      <c r="Q132" s="1348" t="s">
        <v>810</v>
      </c>
      <c r="R132" s="409"/>
      <c r="S132" s="1346" t="s">
        <v>658</v>
      </c>
      <c r="T132" s="1348" t="s">
        <v>659</v>
      </c>
    </row>
    <row r="133" spans="1:20" ht="25.5">
      <c r="A133" s="405"/>
      <c r="B133" s="574" t="s">
        <v>205</v>
      </c>
      <c r="C133" s="575" t="s">
        <v>543</v>
      </c>
      <c r="D133" s="1301">
        <v>0.6</v>
      </c>
      <c r="E133" s="1302">
        <v>0.6</v>
      </c>
      <c r="F133" s="1302">
        <v>0.8</v>
      </c>
      <c r="G133" s="1302">
        <v>0.6</v>
      </c>
      <c r="H133" s="1303">
        <v>0.5</v>
      </c>
      <c r="I133" s="1302">
        <v>0.5</v>
      </c>
      <c r="J133" s="1304">
        <v>0.5</v>
      </c>
      <c r="K133" s="1304">
        <v>0.5</v>
      </c>
      <c r="L133" s="1304">
        <v>0.5</v>
      </c>
      <c r="M133" s="1303">
        <v>0.5</v>
      </c>
      <c r="N133" s="511"/>
      <c r="O133" s="576">
        <v>2</v>
      </c>
      <c r="P133" s="577">
        <v>1.1</v>
      </c>
      <c r="Q133" s="578">
        <v>3.1</v>
      </c>
      <c r="R133" s="409"/>
      <c r="S133" s="576">
        <v>2.5</v>
      </c>
      <c r="T133" s="1351">
        <v>-0.19354838709677422</v>
      </c>
    </row>
    <row r="134" spans="1:20" ht="25.5">
      <c r="A134" s="405"/>
      <c r="B134" s="574" t="s">
        <v>41</v>
      </c>
      <c r="C134" s="575" t="s">
        <v>543</v>
      </c>
      <c r="D134" s="1306">
        <v>0</v>
      </c>
      <c r="E134" s="1307">
        <v>0</v>
      </c>
      <c r="F134" s="1307">
        <v>0.3</v>
      </c>
      <c r="G134" s="1307">
        <v>0.4</v>
      </c>
      <c r="H134" s="1308">
        <v>0.5</v>
      </c>
      <c r="I134" s="1307">
        <v>0.2</v>
      </c>
      <c r="J134" s="1309">
        <v>0.3</v>
      </c>
      <c r="K134" s="1309">
        <v>0.3</v>
      </c>
      <c r="L134" s="1309">
        <v>0.3</v>
      </c>
      <c r="M134" s="1308">
        <v>0.3</v>
      </c>
      <c r="N134" s="511"/>
      <c r="O134" s="406">
        <v>0.3</v>
      </c>
      <c r="P134" s="407">
        <v>0.9</v>
      </c>
      <c r="Q134" s="408">
        <v>1.2</v>
      </c>
      <c r="R134" s="409"/>
      <c r="S134" s="406">
        <v>1.4</v>
      </c>
      <c r="T134" s="1305">
        <v>0.16666666666666663</v>
      </c>
    </row>
    <row r="135" spans="1:20" ht="25.5">
      <c r="A135" s="405"/>
      <c r="B135" s="574" t="s">
        <v>209</v>
      </c>
      <c r="C135" s="575" t="s">
        <v>543</v>
      </c>
      <c r="D135" s="1306">
        <v>0</v>
      </c>
      <c r="E135" s="1307">
        <v>0.4</v>
      </c>
      <c r="F135" s="1307">
        <v>0.6</v>
      </c>
      <c r="G135" s="1307">
        <v>0.15</v>
      </c>
      <c r="H135" s="1308">
        <v>0.1</v>
      </c>
      <c r="I135" s="1307">
        <v>0</v>
      </c>
      <c r="J135" s="1309">
        <v>0.15</v>
      </c>
      <c r="K135" s="1309">
        <v>0</v>
      </c>
      <c r="L135" s="1309">
        <v>0</v>
      </c>
      <c r="M135" s="1308">
        <v>0.15</v>
      </c>
      <c r="N135" s="511"/>
      <c r="O135" s="406">
        <v>1</v>
      </c>
      <c r="P135" s="407">
        <v>0.25</v>
      </c>
      <c r="Q135" s="408">
        <v>1.25</v>
      </c>
      <c r="R135" s="409"/>
      <c r="S135" s="406">
        <v>0.3</v>
      </c>
      <c r="T135" s="1305">
        <v>-0.76</v>
      </c>
    </row>
    <row r="136" spans="1:20" ht="26.25" thickBot="1">
      <c r="A136" s="405"/>
      <c r="B136" s="579" t="s">
        <v>210</v>
      </c>
      <c r="C136" s="580" t="s">
        <v>543</v>
      </c>
      <c r="D136" s="1352">
        <v>0</v>
      </c>
      <c r="E136" s="1353">
        <v>0</v>
      </c>
      <c r="F136" s="1353">
        <v>0</v>
      </c>
      <c r="G136" s="1353">
        <v>0</v>
      </c>
      <c r="H136" s="1354">
        <v>0</v>
      </c>
      <c r="I136" s="1353">
        <v>0</v>
      </c>
      <c r="J136" s="1355">
        <v>0</v>
      </c>
      <c r="K136" s="1355">
        <v>0</v>
      </c>
      <c r="L136" s="1355">
        <v>0</v>
      </c>
      <c r="M136" s="1354">
        <v>0</v>
      </c>
      <c r="N136" s="511"/>
      <c r="O136" s="410">
        <v>0</v>
      </c>
      <c r="P136" s="411">
        <v>0</v>
      </c>
      <c r="Q136" s="412">
        <v>0</v>
      </c>
      <c r="R136" s="409"/>
      <c r="S136" s="410">
        <v>0</v>
      </c>
      <c r="T136" s="1318" t="s">
        <v>814</v>
      </c>
    </row>
    <row r="137" spans="1:20" ht="12.75">
      <c r="A137" s="581"/>
      <c r="B137" s="582"/>
      <c r="C137" s="583"/>
      <c r="D137" s="527"/>
      <c r="E137" s="527"/>
      <c r="F137" s="527"/>
      <c r="G137" s="527"/>
      <c r="H137" s="527"/>
      <c r="I137" s="527"/>
      <c r="J137" s="527"/>
      <c r="K137" s="527"/>
      <c r="L137" s="527"/>
      <c r="M137" s="527"/>
      <c r="N137" s="527"/>
      <c r="O137" s="511"/>
      <c r="P137" s="511"/>
      <c r="Q137" s="511"/>
      <c r="R137" s="511"/>
      <c r="S137" s="511"/>
      <c r="T137" s="511"/>
    </row>
    <row r="138" spans="1:20" ht="12.75">
      <c r="A138" s="405"/>
      <c r="B138" s="405"/>
      <c r="C138" s="488"/>
      <c r="D138" s="511"/>
      <c r="E138" s="511"/>
      <c r="F138" s="511"/>
      <c r="G138" s="511"/>
      <c r="H138" s="511"/>
      <c r="I138" s="511"/>
      <c r="J138" s="511"/>
      <c r="K138" s="511"/>
      <c r="L138" s="511"/>
      <c r="M138" s="511"/>
      <c r="N138" s="511"/>
      <c r="O138" s="511"/>
      <c r="P138" s="511"/>
      <c r="Q138" s="511"/>
      <c r="R138" s="511"/>
      <c r="S138" s="511"/>
      <c r="T138" s="511"/>
    </row>
    <row r="139" spans="1:20" ht="12.75">
      <c r="A139" s="405"/>
      <c r="B139" s="405"/>
      <c r="C139" s="488"/>
      <c r="D139" s="511"/>
      <c r="E139" s="511"/>
      <c r="F139" s="511"/>
      <c r="G139" s="511"/>
      <c r="H139" s="511"/>
      <c r="I139" s="511"/>
      <c r="J139" s="511"/>
      <c r="K139" s="511"/>
      <c r="L139" s="511"/>
      <c r="M139" s="511"/>
      <c r="N139" s="511"/>
      <c r="O139" s="511"/>
      <c r="P139" s="511"/>
      <c r="Q139" s="511"/>
      <c r="R139" s="511"/>
      <c r="S139" s="511"/>
      <c r="T139" s="511"/>
    </row>
    <row r="140" spans="1:20" ht="12.75">
      <c r="A140" s="405"/>
      <c r="B140" s="405"/>
      <c r="C140" s="488"/>
      <c r="D140" s="511"/>
      <c r="E140" s="511"/>
      <c r="F140" s="511"/>
      <c r="G140" s="511"/>
      <c r="H140" s="511"/>
      <c r="I140" s="511"/>
      <c r="J140" s="511"/>
      <c r="K140" s="511"/>
      <c r="L140" s="511"/>
      <c r="M140" s="511"/>
      <c r="N140" s="511"/>
      <c r="O140" s="511"/>
      <c r="P140" s="511"/>
      <c r="Q140" s="511"/>
      <c r="R140" s="511"/>
      <c r="S140" s="511"/>
      <c r="T140" s="511"/>
    </row>
    <row r="141" spans="1:20" ht="12.75">
      <c r="A141" s="405"/>
      <c r="B141" s="405"/>
      <c r="C141" s="488"/>
      <c r="D141" s="511"/>
      <c r="E141" s="511"/>
      <c r="F141" s="511"/>
      <c r="G141" s="511"/>
      <c r="H141" s="511"/>
      <c r="I141" s="511"/>
      <c r="J141" s="511"/>
      <c r="K141" s="511"/>
      <c r="L141" s="511"/>
      <c r="M141" s="511"/>
      <c r="N141" s="511"/>
      <c r="O141" s="511"/>
      <c r="P141" s="511"/>
      <c r="Q141" s="511"/>
      <c r="R141" s="511"/>
      <c r="S141" s="511"/>
      <c r="T141" s="511"/>
    </row>
    <row r="142" spans="1:20" ht="12.75">
      <c r="A142" s="405"/>
      <c r="B142" s="405"/>
      <c r="C142" s="488"/>
      <c r="D142" s="511"/>
      <c r="E142" s="511"/>
      <c r="F142" s="511"/>
      <c r="G142" s="511"/>
      <c r="H142" s="511"/>
      <c r="I142" s="511"/>
      <c r="J142" s="511"/>
      <c r="K142" s="511"/>
      <c r="L142" s="511"/>
      <c r="M142" s="511"/>
      <c r="N142" s="511"/>
      <c r="O142" s="511"/>
      <c r="P142" s="511"/>
      <c r="Q142" s="511"/>
      <c r="R142" s="511"/>
      <c r="S142" s="511"/>
      <c r="T142" s="511"/>
    </row>
    <row r="143" spans="1:20" ht="12.75">
      <c r="A143" s="405"/>
      <c r="B143" s="405"/>
      <c r="C143" s="488"/>
      <c r="D143" s="511"/>
      <c r="E143" s="511"/>
      <c r="F143" s="511"/>
      <c r="G143" s="511"/>
      <c r="H143" s="511"/>
      <c r="I143" s="511"/>
      <c r="J143" s="511"/>
      <c r="K143" s="511"/>
      <c r="L143" s="511"/>
      <c r="M143" s="511"/>
      <c r="N143" s="511"/>
      <c r="O143" s="511"/>
      <c r="P143" s="511"/>
      <c r="Q143" s="511"/>
      <c r="R143" s="511"/>
      <c r="S143" s="511"/>
      <c r="T143" s="511"/>
    </row>
    <row r="144" spans="1:20" ht="12.75">
      <c r="A144" s="405"/>
      <c r="B144" s="405"/>
      <c r="C144" s="488"/>
      <c r="D144" s="511"/>
      <c r="E144" s="511"/>
      <c r="F144" s="511"/>
      <c r="G144" s="511"/>
      <c r="H144" s="511"/>
      <c r="I144" s="511"/>
      <c r="J144" s="511"/>
      <c r="K144" s="511"/>
      <c r="L144" s="511"/>
      <c r="M144" s="511"/>
      <c r="N144" s="511"/>
      <c r="O144" s="511"/>
      <c r="P144" s="511"/>
      <c r="Q144" s="511"/>
      <c r="R144" s="511"/>
      <c r="S144" s="511"/>
      <c r="T144" s="511"/>
    </row>
  </sheetData>
  <sheetProtection/>
  <hyperlinks>
    <hyperlink ref="F1" location="Inputs!A1" display="Index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51"/>
  <sheetViews>
    <sheetView zoomScalePageLayoutView="0" workbookViewId="0" topLeftCell="A1">
      <selection activeCell="L16" sqref="L16:M16"/>
    </sheetView>
  </sheetViews>
  <sheetFormatPr defaultColWidth="8.8515625" defaultRowHeight="12.75"/>
  <cols>
    <col min="1" max="2" width="8.8515625" style="0" customWidth="1"/>
    <col min="3" max="3" width="17.00390625" style="0" customWidth="1"/>
  </cols>
  <sheetData>
    <row r="1" spans="1:7" ht="12.75">
      <c r="A1" s="388" t="s">
        <v>499</v>
      </c>
      <c r="G1" s="390" t="s">
        <v>775</v>
      </c>
    </row>
    <row r="2" ht="12.75">
      <c r="A2" s="388"/>
    </row>
    <row r="3" ht="12.75">
      <c r="A3" s="388" t="s">
        <v>426</v>
      </c>
    </row>
    <row r="5" spans="1:26" ht="12.75">
      <c r="A5" s="405"/>
      <c r="B5" s="487" t="s">
        <v>427</v>
      </c>
      <c r="C5" s="487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</row>
    <row r="6" spans="1:26" ht="13.5" thickBot="1">
      <c r="A6" s="405"/>
      <c r="B6" s="487"/>
      <c r="C6" s="487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5"/>
      <c r="Z6" s="405"/>
    </row>
    <row r="7" spans="1:26" ht="12.75">
      <c r="A7" s="405"/>
      <c r="B7" s="487"/>
      <c r="C7" s="489"/>
      <c r="D7" s="491" t="s">
        <v>646</v>
      </c>
      <c r="E7" s="492"/>
      <c r="F7" s="492"/>
      <c r="G7" s="492"/>
      <c r="H7" s="493"/>
      <c r="I7" s="492" t="s">
        <v>647</v>
      </c>
      <c r="J7" s="494"/>
      <c r="K7" s="494"/>
      <c r="L7" s="494"/>
      <c r="M7" s="493"/>
      <c r="N7" s="409"/>
      <c r="O7" s="495" t="s">
        <v>646</v>
      </c>
      <c r="P7" s="496"/>
      <c r="Q7" s="497"/>
      <c r="R7" s="409"/>
      <c r="S7" s="495" t="s">
        <v>647</v>
      </c>
      <c r="T7" s="497"/>
      <c r="U7" s="405"/>
      <c r="V7" s="405"/>
      <c r="W7" s="405"/>
      <c r="X7" s="405"/>
      <c r="Y7" s="405"/>
      <c r="Z7" s="405"/>
    </row>
    <row r="8" spans="1:26" ht="25.5">
      <c r="A8" s="405"/>
      <c r="B8" s="405"/>
      <c r="C8" s="590"/>
      <c r="D8" s="504" t="s">
        <v>561</v>
      </c>
      <c r="E8" s="505" t="s">
        <v>562</v>
      </c>
      <c r="F8" s="505" t="s">
        <v>558</v>
      </c>
      <c r="G8" s="505" t="s">
        <v>563</v>
      </c>
      <c r="H8" s="506" t="s">
        <v>564</v>
      </c>
      <c r="I8" s="591" t="s">
        <v>648</v>
      </c>
      <c r="J8" s="505" t="s">
        <v>667</v>
      </c>
      <c r="K8" s="505" t="s">
        <v>668</v>
      </c>
      <c r="L8" s="505" t="s">
        <v>669</v>
      </c>
      <c r="M8" s="506" t="s">
        <v>670</v>
      </c>
      <c r="N8" s="409"/>
      <c r="O8" s="504" t="s">
        <v>657</v>
      </c>
      <c r="P8" s="505" t="s">
        <v>658</v>
      </c>
      <c r="Q8" s="506" t="s">
        <v>810</v>
      </c>
      <c r="R8" s="409"/>
      <c r="S8" s="504" t="s">
        <v>658</v>
      </c>
      <c r="T8" s="506" t="s">
        <v>659</v>
      </c>
      <c r="U8" s="405"/>
      <c r="V8" s="405"/>
      <c r="W8" s="405"/>
      <c r="X8" s="405"/>
      <c r="Y8" s="405"/>
      <c r="Z8" s="405"/>
    </row>
    <row r="9" spans="1:26" ht="12.75">
      <c r="A9" s="405"/>
      <c r="B9" s="405"/>
      <c r="C9" s="498"/>
      <c r="D9" s="592" t="s">
        <v>420</v>
      </c>
      <c r="E9" s="593" t="s">
        <v>420</v>
      </c>
      <c r="F9" s="593" t="s">
        <v>420</v>
      </c>
      <c r="G9" s="593" t="s">
        <v>420</v>
      </c>
      <c r="H9" s="594" t="s">
        <v>420</v>
      </c>
      <c r="I9" s="595" t="s">
        <v>420</v>
      </c>
      <c r="J9" s="593" t="s">
        <v>420</v>
      </c>
      <c r="K9" s="593" t="s">
        <v>420</v>
      </c>
      <c r="L9" s="593" t="s">
        <v>420</v>
      </c>
      <c r="M9" s="594" t="s">
        <v>420</v>
      </c>
      <c r="N9" s="537"/>
      <c r="O9" s="592" t="s">
        <v>420</v>
      </c>
      <c r="P9" s="593" t="s">
        <v>420</v>
      </c>
      <c r="Q9" s="594" t="s">
        <v>420</v>
      </c>
      <c r="R9" s="537"/>
      <c r="S9" s="592" t="s">
        <v>420</v>
      </c>
      <c r="T9" s="594" t="s">
        <v>420</v>
      </c>
      <c r="U9" s="405"/>
      <c r="V9" s="405"/>
      <c r="W9" s="405"/>
      <c r="X9" s="405"/>
      <c r="Y9" s="405"/>
      <c r="Z9" s="405"/>
    </row>
    <row r="10" spans="1:26" ht="12.75">
      <c r="A10" s="405"/>
      <c r="B10" s="405"/>
      <c r="C10" s="596" t="s">
        <v>428</v>
      </c>
      <c r="D10" s="597"/>
      <c r="E10" s="598"/>
      <c r="F10" s="598"/>
      <c r="G10" s="598"/>
      <c r="H10" s="599"/>
      <c r="I10" s="598"/>
      <c r="J10" s="598"/>
      <c r="K10" s="598"/>
      <c r="L10" s="598"/>
      <c r="M10" s="599"/>
      <c r="N10" s="537"/>
      <c r="O10" s="597"/>
      <c r="P10" s="527"/>
      <c r="Q10" s="528"/>
      <c r="R10" s="537"/>
      <c r="S10" s="597"/>
      <c r="T10" s="600"/>
      <c r="U10" s="405"/>
      <c r="V10" s="405"/>
      <c r="W10" s="405"/>
      <c r="X10" s="405"/>
      <c r="Y10" s="405"/>
      <c r="Z10" s="405"/>
    </row>
    <row r="11" spans="1:26" ht="12.75">
      <c r="A11" s="405"/>
      <c r="B11" s="405"/>
      <c r="C11" s="601" t="s">
        <v>488</v>
      </c>
      <c r="D11" s="470">
        <v>0.1</v>
      </c>
      <c r="E11" s="471">
        <v>0.1</v>
      </c>
      <c r="F11" s="471">
        <v>0.3</v>
      </c>
      <c r="G11" s="471">
        <v>0.2</v>
      </c>
      <c r="H11" s="472">
        <v>0.2</v>
      </c>
      <c r="I11" s="471">
        <v>0.2</v>
      </c>
      <c r="J11" s="473">
        <v>0.2</v>
      </c>
      <c r="K11" s="473">
        <v>0.2</v>
      </c>
      <c r="L11" s="473">
        <v>0.2</v>
      </c>
      <c r="M11" s="472">
        <v>0.2</v>
      </c>
      <c r="N11" s="602"/>
      <c r="O11" s="406">
        <v>0.5</v>
      </c>
      <c r="P11" s="407">
        <v>0.4</v>
      </c>
      <c r="Q11" s="408">
        <v>0.9</v>
      </c>
      <c r="R11" s="603"/>
      <c r="S11" s="406">
        <v>1</v>
      </c>
      <c r="T11" s="1305">
        <v>0.11111111111111122</v>
      </c>
      <c r="U11" s="405"/>
      <c r="V11" s="405"/>
      <c r="W11" s="405"/>
      <c r="X11" s="405"/>
      <c r="Y11" s="405"/>
      <c r="Z11" s="405"/>
    </row>
    <row r="12" spans="1:26" ht="12.75">
      <c r="A12" s="405"/>
      <c r="B12" s="405"/>
      <c r="C12" s="601" t="s">
        <v>483</v>
      </c>
      <c r="D12" s="470">
        <v>1.3</v>
      </c>
      <c r="E12" s="471">
        <v>2</v>
      </c>
      <c r="F12" s="471">
        <v>0.9</v>
      </c>
      <c r="G12" s="471">
        <v>1</v>
      </c>
      <c r="H12" s="472">
        <v>1.1</v>
      </c>
      <c r="I12" s="471">
        <v>1.2</v>
      </c>
      <c r="J12" s="473">
        <v>1.2</v>
      </c>
      <c r="K12" s="473">
        <v>1.3</v>
      </c>
      <c r="L12" s="473">
        <v>1.3</v>
      </c>
      <c r="M12" s="472">
        <v>1.3</v>
      </c>
      <c r="N12" s="602"/>
      <c r="O12" s="406">
        <v>4.2</v>
      </c>
      <c r="P12" s="407">
        <v>2.1</v>
      </c>
      <c r="Q12" s="408">
        <v>6.3</v>
      </c>
      <c r="R12" s="603"/>
      <c r="S12" s="406">
        <v>6.3</v>
      </c>
      <c r="T12" s="1305">
        <v>-1.409807015397024E-16</v>
      </c>
      <c r="U12" s="405"/>
      <c r="V12" s="405"/>
      <c r="W12" s="405"/>
      <c r="X12" s="405"/>
      <c r="Y12" s="405"/>
      <c r="Z12" s="405"/>
    </row>
    <row r="13" spans="1:26" ht="12.75">
      <c r="A13" s="405"/>
      <c r="B13" s="405"/>
      <c r="C13" s="601" t="s">
        <v>484</v>
      </c>
      <c r="D13" s="470">
        <v>2.2</v>
      </c>
      <c r="E13" s="471">
        <v>1.6</v>
      </c>
      <c r="F13" s="471">
        <v>1.4</v>
      </c>
      <c r="G13" s="471">
        <v>2</v>
      </c>
      <c r="H13" s="472">
        <v>2.7</v>
      </c>
      <c r="I13" s="471">
        <v>2.6</v>
      </c>
      <c r="J13" s="473">
        <v>1.7999999999999998</v>
      </c>
      <c r="K13" s="473">
        <v>1.5</v>
      </c>
      <c r="L13" s="473">
        <v>1.1</v>
      </c>
      <c r="M13" s="472">
        <v>0.8</v>
      </c>
      <c r="N13" s="602"/>
      <c r="O13" s="406">
        <v>5.2</v>
      </c>
      <c r="P13" s="407">
        <v>4.7</v>
      </c>
      <c r="Q13" s="408">
        <v>9.9</v>
      </c>
      <c r="R13" s="603"/>
      <c r="S13" s="406">
        <v>14.9</v>
      </c>
      <c r="T13" s="1305">
        <v>0.5050505050505049</v>
      </c>
      <c r="U13" s="405"/>
      <c r="V13" s="405"/>
      <c r="W13" s="405"/>
      <c r="X13" s="405"/>
      <c r="Y13" s="405"/>
      <c r="Z13" s="405"/>
    </row>
    <row r="14" spans="1:26" ht="12.75">
      <c r="A14" s="405"/>
      <c r="B14" s="405"/>
      <c r="C14" s="601" t="s">
        <v>473</v>
      </c>
      <c r="D14" s="470">
        <v>1.3</v>
      </c>
      <c r="E14" s="471">
        <v>2</v>
      </c>
      <c r="F14" s="471">
        <v>1.1</v>
      </c>
      <c r="G14" s="471">
        <v>0.9</v>
      </c>
      <c r="H14" s="472">
        <v>0.8</v>
      </c>
      <c r="I14" s="471">
        <v>1.2</v>
      </c>
      <c r="J14" s="473">
        <v>0.2</v>
      </c>
      <c r="K14" s="473">
        <v>0.6</v>
      </c>
      <c r="L14" s="473">
        <v>0.6</v>
      </c>
      <c r="M14" s="472">
        <v>0.6</v>
      </c>
      <c r="N14" s="602"/>
      <c r="O14" s="406">
        <v>4.4</v>
      </c>
      <c r="P14" s="407">
        <v>1.7</v>
      </c>
      <c r="Q14" s="408">
        <v>6.1</v>
      </c>
      <c r="R14" s="603"/>
      <c r="S14" s="406">
        <v>6.8</v>
      </c>
      <c r="T14" s="1305">
        <v>0.11475409836065562</v>
      </c>
      <c r="U14" s="405"/>
      <c r="V14" s="405"/>
      <c r="W14" s="405"/>
      <c r="X14" s="405"/>
      <c r="Y14" s="405"/>
      <c r="Z14" s="405"/>
    </row>
    <row r="15" spans="1:26" ht="38.25">
      <c r="A15" s="405"/>
      <c r="B15" s="405"/>
      <c r="C15" s="524" t="s">
        <v>316</v>
      </c>
      <c r="D15" s="479"/>
      <c r="E15" s="480"/>
      <c r="F15" s="480"/>
      <c r="G15" s="471">
        <v>0</v>
      </c>
      <c r="H15" s="472">
        <v>0</v>
      </c>
      <c r="I15" s="471">
        <v>0</v>
      </c>
      <c r="J15" s="473">
        <v>0</v>
      </c>
      <c r="K15" s="473">
        <v>0</v>
      </c>
      <c r="L15" s="473">
        <v>0</v>
      </c>
      <c r="M15" s="472">
        <v>0</v>
      </c>
      <c r="N15" s="603"/>
      <c r="O15" s="406">
        <v>0</v>
      </c>
      <c r="P15" s="407">
        <v>0</v>
      </c>
      <c r="Q15" s="408">
        <v>0</v>
      </c>
      <c r="R15" s="603"/>
      <c r="S15" s="406">
        <v>0</v>
      </c>
      <c r="T15" s="1305" t="s">
        <v>814</v>
      </c>
      <c r="U15" s="405"/>
      <c r="V15" s="405"/>
      <c r="W15" s="405"/>
      <c r="X15" s="405"/>
      <c r="Y15" s="405"/>
      <c r="Z15" s="405"/>
    </row>
    <row r="16" spans="1:26" ht="12.75">
      <c r="A16" s="405"/>
      <c r="B16" s="405"/>
      <c r="C16" s="524" t="s">
        <v>810</v>
      </c>
      <c r="D16" s="1310">
        <v>4.9</v>
      </c>
      <c r="E16" s="1313">
        <v>5.7</v>
      </c>
      <c r="F16" s="1313">
        <v>3.7</v>
      </c>
      <c r="G16" s="1313">
        <v>4.1</v>
      </c>
      <c r="H16" s="1312">
        <v>4.8</v>
      </c>
      <c r="I16" s="1313">
        <f>SUM(I11:I15)</f>
        <v>5.2</v>
      </c>
      <c r="J16" s="1313">
        <f>SUM(J11:J15)</f>
        <v>3.4</v>
      </c>
      <c r="K16" s="1313">
        <f>SUM(K11:K15)</f>
        <v>3.6</v>
      </c>
      <c r="L16" s="1313">
        <f>SUM(L11:L15)</f>
        <v>3.2</v>
      </c>
      <c r="M16" s="1313">
        <f>SUM(M11:M15)</f>
        <v>2.9</v>
      </c>
      <c r="N16" s="604"/>
      <c r="O16" s="1310">
        <v>14.3</v>
      </c>
      <c r="P16" s="1311">
        <v>8.9</v>
      </c>
      <c r="Q16" s="1312">
        <v>23.2</v>
      </c>
      <c r="R16" s="604"/>
      <c r="S16" s="1310">
        <v>29</v>
      </c>
      <c r="T16" s="1356">
        <v>0.25</v>
      </c>
      <c r="U16" s="405"/>
      <c r="V16" s="405"/>
      <c r="W16" s="405"/>
      <c r="X16" s="405"/>
      <c r="Y16" s="405"/>
      <c r="Z16" s="405"/>
    </row>
    <row r="17" spans="1:26" ht="12.75">
      <c r="A17" s="405"/>
      <c r="B17" s="405"/>
      <c r="C17" s="524"/>
      <c r="D17" s="605"/>
      <c r="E17" s="606"/>
      <c r="F17" s="606"/>
      <c r="G17" s="606"/>
      <c r="H17" s="607"/>
      <c r="I17" s="606"/>
      <c r="J17" s="606"/>
      <c r="K17" s="606"/>
      <c r="L17" s="606"/>
      <c r="M17" s="607"/>
      <c r="N17" s="602"/>
      <c r="O17" s="605"/>
      <c r="P17" s="608"/>
      <c r="Q17" s="609"/>
      <c r="R17" s="602"/>
      <c r="S17" s="605"/>
      <c r="T17" s="1357"/>
      <c r="U17" s="405"/>
      <c r="V17" s="405"/>
      <c r="W17" s="405"/>
      <c r="X17" s="405"/>
      <c r="Y17" s="405"/>
      <c r="Z17" s="405"/>
    </row>
    <row r="18" spans="1:26" ht="38.25">
      <c r="A18" s="405"/>
      <c r="B18" s="405"/>
      <c r="C18" s="524" t="s">
        <v>436</v>
      </c>
      <c r="D18" s="479"/>
      <c r="E18" s="480"/>
      <c r="F18" s="480"/>
      <c r="G18" s="471">
        <v>0</v>
      </c>
      <c r="H18" s="472">
        <v>0</v>
      </c>
      <c r="I18" s="471">
        <v>0</v>
      </c>
      <c r="J18" s="473">
        <v>0</v>
      </c>
      <c r="K18" s="473">
        <v>0</v>
      </c>
      <c r="L18" s="473">
        <v>0</v>
      </c>
      <c r="M18" s="472">
        <v>0</v>
      </c>
      <c r="N18" s="603"/>
      <c r="O18" s="406">
        <v>0</v>
      </c>
      <c r="P18" s="407">
        <v>0</v>
      </c>
      <c r="Q18" s="408">
        <v>0</v>
      </c>
      <c r="R18" s="603"/>
      <c r="S18" s="406">
        <v>0</v>
      </c>
      <c r="T18" s="1305" t="s">
        <v>814</v>
      </c>
      <c r="U18" s="405"/>
      <c r="V18" s="405"/>
      <c r="W18" s="405"/>
      <c r="X18" s="405"/>
      <c r="Y18" s="405"/>
      <c r="Z18" s="405"/>
    </row>
    <row r="19" spans="1:26" ht="39" thickBot="1">
      <c r="A19" s="405"/>
      <c r="B19" s="405"/>
      <c r="C19" s="532" t="s">
        <v>437</v>
      </c>
      <c r="D19" s="482"/>
      <c r="E19" s="483"/>
      <c r="F19" s="483"/>
      <c r="G19" s="484">
        <v>0</v>
      </c>
      <c r="H19" s="485">
        <v>0</v>
      </c>
      <c r="I19" s="484">
        <v>0</v>
      </c>
      <c r="J19" s="486">
        <v>0</v>
      </c>
      <c r="K19" s="486">
        <v>0</v>
      </c>
      <c r="L19" s="486">
        <v>0</v>
      </c>
      <c r="M19" s="485">
        <v>0</v>
      </c>
      <c r="N19" s="603"/>
      <c r="O19" s="410">
        <v>0</v>
      </c>
      <c r="P19" s="411">
        <v>0</v>
      </c>
      <c r="Q19" s="412">
        <v>0</v>
      </c>
      <c r="R19" s="603"/>
      <c r="S19" s="410">
        <v>0</v>
      </c>
      <c r="T19" s="1318" t="s">
        <v>814</v>
      </c>
      <c r="U19" s="405"/>
      <c r="V19" s="405"/>
      <c r="W19" s="405"/>
      <c r="X19" s="405"/>
      <c r="Y19" s="405"/>
      <c r="Z19" s="405"/>
    </row>
    <row r="20" spans="1:26" ht="12.75">
      <c r="A20" s="405"/>
      <c r="B20" s="405"/>
      <c r="C20" s="405"/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5"/>
      <c r="S20" s="405"/>
      <c r="T20" s="405"/>
      <c r="U20" s="405"/>
      <c r="V20" s="405"/>
      <c r="W20" s="405"/>
      <c r="X20" s="405"/>
      <c r="Y20" s="405"/>
      <c r="Z20" s="405"/>
    </row>
    <row r="21" spans="1:26" ht="12.75">
      <c r="A21" s="405"/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405"/>
      <c r="Z21" s="405"/>
    </row>
    <row r="22" spans="1:26" ht="12.75">
      <c r="A22" s="405"/>
      <c r="B22" s="487" t="s">
        <v>439</v>
      </c>
      <c r="C22" s="405"/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405"/>
    </row>
    <row r="23" spans="1:26" ht="13.5" thickBot="1">
      <c r="A23" s="405"/>
      <c r="B23" s="405"/>
      <c r="C23" s="405"/>
      <c r="D23" s="405"/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405"/>
      <c r="Y23" s="405"/>
      <c r="Z23" s="405"/>
    </row>
    <row r="24" spans="1:26" ht="12.75">
      <c r="A24" s="405"/>
      <c r="B24" s="610"/>
      <c r="C24" s="496" t="s">
        <v>440</v>
      </c>
      <c r="D24" s="1344"/>
      <c r="E24" s="1344"/>
      <c r="F24" s="1358"/>
      <c r="G24" s="1320"/>
      <c r="H24" s="611"/>
      <c r="I24" s="612"/>
      <c r="J24" s="1319" t="s">
        <v>646</v>
      </c>
      <c r="K24" s="1320"/>
      <c r="L24" s="1320"/>
      <c r="M24" s="1320"/>
      <c r="N24" s="493"/>
      <c r="O24" s="1320" t="s">
        <v>647</v>
      </c>
      <c r="P24" s="494"/>
      <c r="Q24" s="494"/>
      <c r="R24" s="494"/>
      <c r="S24" s="493"/>
      <c r="T24" s="1359" t="s">
        <v>441</v>
      </c>
      <c r="U24" s="613"/>
      <c r="V24" s="613"/>
      <c r="W24" s="613"/>
      <c r="X24" s="613"/>
      <c r="Y24" s="613"/>
      <c r="Z24" s="614"/>
    </row>
    <row r="25" spans="1:26" s="654" customFormat="1" ht="101.25" customHeight="1">
      <c r="A25" s="647"/>
      <c r="B25" s="648"/>
      <c r="C25" s="649" t="s">
        <v>442</v>
      </c>
      <c r="D25" s="650" t="s">
        <v>697</v>
      </c>
      <c r="E25" s="649" t="s">
        <v>698</v>
      </c>
      <c r="F25" s="651" t="s">
        <v>449</v>
      </c>
      <c r="G25" s="651" t="s">
        <v>450</v>
      </c>
      <c r="H25" s="652" t="s">
        <v>451</v>
      </c>
      <c r="I25" s="653" t="s">
        <v>452</v>
      </c>
      <c r="J25" s="652" t="s">
        <v>561</v>
      </c>
      <c r="K25" s="649" t="s">
        <v>562</v>
      </c>
      <c r="L25" s="649" t="s">
        <v>558</v>
      </c>
      <c r="M25" s="649" t="s">
        <v>563</v>
      </c>
      <c r="N25" s="653" t="s">
        <v>564</v>
      </c>
      <c r="O25" s="652" t="s">
        <v>648</v>
      </c>
      <c r="P25" s="649" t="s">
        <v>667</v>
      </c>
      <c r="Q25" s="649" t="s">
        <v>668</v>
      </c>
      <c r="R25" s="649" t="s">
        <v>669</v>
      </c>
      <c r="S25" s="653" t="s">
        <v>670</v>
      </c>
      <c r="T25" s="1483" t="s">
        <v>603</v>
      </c>
      <c r="U25" s="1484"/>
      <c r="V25" s="1484"/>
      <c r="W25" s="1484"/>
      <c r="X25" s="1484"/>
      <c r="Y25" s="1484"/>
      <c r="Z25" s="1485"/>
    </row>
    <row r="26" spans="1:26" ht="12.75">
      <c r="A26" s="405"/>
      <c r="B26" s="498"/>
      <c r="C26" s="615" t="s">
        <v>604</v>
      </c>
      <c r="D26" s="1360" t="s">
        <v>605</v>
      </c>
      <c r="E26" s="1361" t="s">
        <v>606</v>
      </c>
      <c r="F26" s="1362" t="s">
        <v>607</v>
      </c>
      <c r="G26" s="1362" t="s">
        <v>608</v>
      </c>
      <c r="H26" s="1363" t="s">
        <v>420</v>
      </c>
      <c r="I26" s="1364" t="s">
        <v>420</v>
      </c>
      <c r="J26" s="1365" t="s">
        <v>420</v>
      </c>
      <c r="K26" s="1366" t="s">
        <v>420</v>
      </c>
      <c r="L26" s="1366" t="s">
        <v>420</v>
      </c>
      <c r="M26" s="1366" t="s">
        <v>420</v>
      </c>
      <c r="N26" s="1367" t="s">
        <v>420</v>
      </c>
      <c r="O26" s="1365" t="s">
        <v>420</v>
      </c>
      <c r="P26" s="1366" t="s">
        <v>420</v>
      </c>
      <c r="Q26" s="1366" t="s">
        <v>420</v>
      </c>
      <c r="R26" s="1366" t="s">
        <v>420</v>
      </c>
      <c r="S26" s="1367" t="s">
        <v>420</v>
      </c>
      <c r="T26" s="1486" t="s">
        <v>594</v>
      </c>
      <c r="U26" s="1487"/>
      <c r="V26" s="1487"/>
      <c r="W26" s="1487"/>
      <c r="X26" s="1487"/>
      <c r="Y26" s="1487"/>
      <c r="Z26" s="1488"/>
    </row>
    <row r="27" spans="1:26" ht="12.75">
      <c r="A27" s="616"/>
      <c r="B27" s="617">
        <v>1</v>
      </c>
      <c r="C27" s="618"/>
      <c r="D27" s="618" t="s">
        <v>815</v>
      </c>
      <c r="E27" s="618" t="s">
        <v>816</v>
      </c>
      <c r="F27" s="619" t="s">
        <v>740</v>
      </c>
      <c r="G27" s="619">
        <v>10</v>
      </c>
      <c r="H27" s="620">
        <v>0.6</v>
      </c>
      <c r="I27" s="621">
        <v>0.6</v>
      </c>
      <c r="J27" s="620"/>
      <c r="K27" s="622"/>
      <c r="L27" s="622"/>
      <c r="M27" s="622"/>
      <c r="N27" s="623"/>
      <c r="O27" s="622">
        <v>0.6</v>
      </c>
      <c r="P27" s="624">
        <v>0</v>
      </c>
      <c r="Q27" s="624">
        <v>0</v>
      </c>
      <c r="R27" s="624">
        <v>0</v>
      </c>
      <c r="S27" s="623">
        <v>0</v>
      </c>
      <c r="T27" s="1477" t="s">
        <v>817</v>
      </c>
      <c r="U27" s="1478">
        <v>0</v>
      </c>
      <c r="V27" s="1478">
        <v>0</v>
      </c>
      <c r="W27" s="1478">
        <v>0</v>
      </c>
      <c r="X27" s="1478">
        <v>0</v>
      </c>
      <c r="Y27" s="1478">
        <v>0</v>
      </c>
      <c r="Z27" s="1479">
        <v>0</v>
      </c>
    </row>
    <row r="28" spans="1:26" ht="12.75">
      <c r="A28" s="616"/>
      <c r="B28" s="625">
        <v>2</v>
      </c>
      <c r="C28" s="618"/>
      <c r="D28" s="618">
        <v>33</v>
      </c>
      <c r="E28" s="618" t="s">
        <v>818</v>
      </c>
      <c r="F28" s="619" t="s">
        <v>740</v>
      </c>
      <c r="G28" s="619">
        <v>4.6</v>
      </c>
      <c r="H28" s="620">
        <v>1.4</v>
      </c>
      <c r="I28" s="621">
        <v>1.4</v>
      </c>
      <c r="J28" s="620"/>
      <c r="K28" s="622"/>
      <c r="L28" s="622"/>
      <c r="M28" s="622"/>
      <c r="N28" s="623"/>
      <c r="O28" s="622">
        <v>0</v>
      </c>
      <c r="P28" s="624">
        <v>0.7</v>
      </c>
      <c r="Q28" s="624">
        <v>0.7</v>
      </c>
      <c r="R28" s="624">
        <v>0</v>
      </c>
      <c r="S28" s="623">
        <v>0</v>
      </c>
      <c r="T28" s="1477" t="s">
        <v>819</v>
      </c>
      <c r="U28" s="1478">
        <v>0</v>
      </c>
      <c r="V28" s="1478">
        <v>0</v>
      </c>
      <c r="W28" s="1478">
        <v>0</v>
      </c>
      <c r="X28" s="1478">
        <v>0</v>
      </c>
      <c r="Y28" s="1478">
        <v>0</v>
      </c>
      <c r="Z28" s="1479">
        <v>0</v>
      </c>
    </row>
    <row r="29" spans="1:26" ht="12.75">
      <c r="A29" s="616"/>
      <c r="B29" s="625">
        <v>3</v>
      </c>
      <c r="C29" s="618"/>
      <c r="D29" s="618">
        <v>33</v>
      </c>
      <c r="E29" s="618" t="s">
        <v>816</v>
      </c>
      <c r="F29" s="619" t="s">
        <v>667</v>
      </c>
      <c r="G29" s="619">
        <v>3</v>
      </c>
      <c r="H29" s="620">
        <v>0.45</v>
      </c>
      <c r="I29" s="621">
        <v>0.45</v>
      </c>
      <c r="J29" s="620"/>
      <c r="K29" s="622"/>
      <c r="L29" s="622"/>
      <c r="M29" s="622"/>
      <c r="N29" s="623"/>
      <c r="O29" s="622">
        <v>0</v>
      </c>
      <c r="P29" s="624">
        <v>0.45</v>
      </c>
      <c r="Q29" s="624">
        <v>0</v>
      </c>
      <c r="R29" s="624">
        <v>0</v>
      </c>
      <c r="S29" s="623">
        <v>0</v>
      </c>
      <c r="T29" s="1477" t="s">
        <v>820</v>
      </c>
      <c r="U29" s="1478">
        <v>0</v>
      </c>
      <c r="V29" s="1478">
        <v>0</v>
      </c>
      <c r="W29" s="1478">
        <v>0</v>
      </c>
      <c r="X29" s="1478">
        <v>0</v>
      </c>
      <c r="Y29" s="1478">
        <v>0</v>
      </c>
      <c r="Z29" s="1479">
        <v>0</v>
      </c>
    </row>
    <row r="30" spans="1:26" ht="12.75">
      <c r="A30" s="616"/>
      <c r="B30" s="625">
        <v>4</v>
      </c>
      <c r="C30" s="618"/>
      <c r="D30" s="618">
        <v>33</v>
      </c>
      <c r="E30" s="618" t="s">
        <v>821</v>
      </c>
      <c r="F30" s="619" t="s">
        <v>670</v>
      </c>
      <c r="G30" s="619">
        <v>23</v>
      </c>
      <c r="H30" s="620">
        <v>0.8</v>
      </c>
      <c r="I30" s="621">
        <v>0.8</v>
      </c>
      <c r="J30" s="620"/>
      <c r="K30" s="622"/>
      <c r="L30" s="622"/>
      <c r="M30" s="622"/>
      <c r="N30" s="623"/>
      <c r="O30" s="622">
        <v>0</v>
      </c>
      <c r="P30" s="624">
        <v>0</v>
      </c>
      <c r="Q30" s="624">
        <v>0</v>
      </c>
      <c r="R30" s="624">
        <v>0.6</v>
      </c>
      <c r="S30" s="623">
        <v>0.2</v>
      </c>
      <c r="T30" s="1477" t="s">
        <v>822</v>
      </c>
      <c r="U30" s="1478">
        <v>0</v>
      </c>
      <c r="V30" s="1478">
        <v>0</v>
      </c>
      <c r="W30" s="1478">
        <v>0</v>
      </c>
      <c r="X30" s="1478">
        <v>0</v>
      </c>
      <c r="Y30" s="1478">
        <v>0</v>
      </c>
      <c r="Z30" s="1479">
        <v>0</v>
      </c>
    </row>
    <row r="31" spans="1:26" ht="12.75">
      <c r="A31" s="616"/>
      <c r="B31" s="625">
        <v>5</v>
      </c>
      <c r="C31" s="618"/>
      <c r="D31" s="618">
        <v>33</v>
      </c>
      <c r="E31" s="618" t="s">
        <v>823</v>
      </c>
      <c r="F31" s="619" t="s">
        <v>667</v>
      </c>
      <c r="G31" s="619">
        <v>7.1</v>
      </c>
      <c r="H31" s="620">
        <v>0.3</v>
      </c>
      <c r="I31" s="621">
        <v>0.3</v>
      </c>
      <c r="J31" s="620"/>
      <c r="K31" s="622"/>
      <c r="L31" s="622"/>
      <c r="M31" s="622"/>
      <c r="N31" s="623"/>
      <c r="O31" s="622">
        <v>0</v>
      </c>
      <c r="P31" s="624">
        <v>0.3</v>
      </c>
      <c r="Q31" s="624">
        <v>0</v>
      </c>
      <c r="R31" s="624">
        <v>0</v>
      </c>
      <c r="S31" s="623">
        <v>0</v>
      </c>
      <c r="T31" s="1477" t="s">
        <v>824</v>
      </c>
      <c r="U31" s="1478">
        <v>0</v>
      </c>
      <c r="V31" s="1478">
        <v>0</v>
      </c>
      <c r="W31" s="1478">
        <v>0</v>
      </c>
      <c r="X31" s="1478">
        <v>0</v>
      </c>
      <c r="Y31" s="1478">
        <v>0</v>
      </c>
      <c r="Z31" s="1479">
        <v>0</v>
      </c>
    </row>
    <row r="32" spans="1:26" ht="12.75">
      <c r="A32" s="616"/>
      <c r="B32" s="625">
        <v>6</v>
      </c>
      <c r="C32" s="618"/>
      <c r="D32" s="618">
        <v>33</v>
      </c>
      <c r="E32" s="618" t="s">
        <v>818</v>
      </c>
      <c r="F32" s="619" t="s">
        <v>564</v>
      </c>
      <c r="G32" s="619">
        <v>7.1</v>
      </c>
      <c r="H32" s="620">
        <v>0.8</v>
      </c>
      <c r="I32" s="621">
        <v>0.8</v>
      </c>
      <c r="J32" s="620"/>
      <c r="K32" s="622"/>
      <c r="L32" s="622"/>
      <c r="M32" s="622"/>
      <c r="N32" s="623"/>
      <c r="O32" s="622">
        <v>0.3</v>
      </c>
      <c r="P32" s="624">
        <v>0.4</v>
      </c>
      <c r="Q32" s="624">
        <v>0.1</v>
      </c>
      <c r="R32" s="624">
        <v>0</v>
      </c>
      <c r="S32" s="623">
        <v>0</v>
      </c>
      <c r="T32" s="1477" t="s">
        <v>825</v>
      </c>
      <c r="U32" s="1478">
        <v>0</v>
      </c>
      <c r="V32" s="1478">
        <v>0</v>
      </c>
      <c r="W32" s="1478">
        <v>0</v>
      </c>
      <c r="X32" s="1478">
        <v>0</v>
      </c>
      <c r="Y32" s="1478">
        <v>0</v>
      </c>
      <c r="Z32" s="1479">
        <v>0</v>
      </c>
    </row>
    <row r="33" spans="1:26" ht="12.75">
      <c r="A33" s="616"/>
      <c r="B33" s="625">
        <v>7</v>
      </c>
      <c r="C33" s="618"/>
      <c r="D33" s="618">
        <v>33</v>
      </c>
      <c r="E33" s="618" t="s">
        <v>826</v>
      </c>
      <c r="F33" s="619" t="s">
        <v>669</v>
      </c>
      <c r="G33" s="619">
        <v>6</v>
      </c>
      <c r="H33" s="620">
        <v>1.2</v>
      </c>
      <c r="I33" s="621">
        <v>1.2</v>
      </c>
      <c r="J33" s="620"/>
      <c r="K33" s="622"/>
      <c r="L33" s="622"/>
      <c r="M33" s="622"/>
      <c r="N33" s="623"/>
      <c r="O33" s="622">
        <v>0</v>
      </c>
      <c r="P33" s="624">
        <v>0</v>
      </c>
      <c r="Q33" s="624">
        <v>1.2</v>
      </c>
      <c r="R33" s="624">
        <v>0</v>
      </c>
      <c r="S33" s="623">
        <v>0</v>
      </c>
      <c r="T33" s="1477" t="s">
        <v>827</v>
      </c>
      <c r="U33" s="1478">
        <v>0</v>
      </c>
      <c r="V33" s="1478">
        <v>0</v>
      </c>
      <c r="W33" s="1478">
        <v>0</v>
      </c>
      <c r="X33" s="1478">
        <v>0</v>
      </c>
      <c r="Y33" s="1478">
        <v>0</v>
      </c>
      <c r="Z33" s="1479">
        <v>0</v>
      </c>
    </row>
    <row r="34" spans="1:26" ht="12.75">
      <c r="A34" s="616"/>
      <c r="B34" s="625">
        <v>8</v>
      </c>
      <c r="C34" s="618"/>
      <c r="D34" s="618" t="s">
        <v>815</v>
      </c>
      <c r="E34" s="618" t="s">
        <v>816</v>
      </c>
      <c r="F34" s="619" t="s">
        <v>669</v>
      </c>
      <c r="G34" s="619">
        <v>17.9</v>
      </c>
      <c r="H34" s="620">
        <v>0.7</v>
      </c>
      <c r="I34" s="621">
        <v>0.7</v>
      </c>
      <c r="J34" s="620"/>
      <c r="K34" s="622"/>
      <c r="L34" s="622"/>
      <c r="M34" s="622"/>
      <c r="N34" s="623"/>
      <c r="O34" s="622">
        <v>0</v>
      </c>
      <c r="P34" s="624">
        <v>0</v>
      </c>
      <c r="Q34" s="624">
        <v>0</v>
      </c>
      <c r="R34" s="624">
        <v>0.7</v>
      </c>
      <c r="S34" s="623">
        <v>0</v>
      </c>
      <c r="T34" s="1477" t="s">
        <v>828</v>
      </c>
      <c r="U34" s="1478">
        <v>0</v>
      </c>
      <c r="V34" s="1478">
        <v>0</v>
      </c>
      <c r="W34" s="1478">
        <v>0</v>
      </c>
      <c r="X34" s="1478">
        <v>0</v>
      </c>
      <c r="Y34" s="1478">
        <v>0</v>
      </c>
      <c r="Z34" s="1479">
        <v>0</v>
      </c>
    </row>
    <row r="35" spans="1:26" ht="12.75">
      <c r="A35" s="616"/>
      <c r="B35" s="625">
        <v>9</v>
      </c>
      <c r="C35" s="618"/>
      <c r="D35" s="618">
        <v>33</v>
      </c>
      <c r="E35" s="618" t="s">
        <v>823</v>
      </c>
      <c r="F35" s="619">
        <v>2009</v>
      </c>
      <c r="G35" s="619">
        <v>20</v>
      </c>
      <c r="H35" s="620">
        <v>0.4</v>
      </c>
      <c r="I35" s="621">
        <v>0.4</v>
      </c>
      <c r="J35" s="620"/>
      <c r="K35" s="622"/>
      <c r="L35" s="622"/>
      <c r="M35" s="622"/>
      <c r="N35" s="623"/>
      <c r="O35" s="622">
        <v>0.4</v>
      </c>
      <c r="P35" s="624">
        <v>0</v>
      </c>
      <c r="Q35" s="624">
        <v>0</v>
      </c>
      <c r="R35" s="624">
        <v>0</v>
      </c>
      <c r="S35" s="623">
        <v>0</v>
      </c>
      <c r="T35" s="1477" t="s">
        <v>829</v>
      </c>
      <c r="U35" s="1478">
        <v>0</v>
      </c>
      <c r="V35" s="1478">
        <v>0</v>
      </c>
      <c r="W35" s="1478">
        <v>0</v>
      </c>
      <c r="X35" s="1478">
        <v>0</v>
      </c>
      <c r="Y35" s="1478">
        <v>0</v>
      </c>
      <c r="Z35" s="1479">
        <v>0</v>
      </c>
    </row>
    <row r="36" spans="1:26" ht="12.75">
      <c r="A36" s="616"/>
      <c r="B36" s="625">
        <v>10</v>
      </c>
      <c r="C36" s="618"/>
      <c r="D36" s="618">
        <v>66</v>
      </c>
      <c r="E36" s="618" t="s">
        <v>830</v>
      </c>
      <c r="F36" s="619" t="s">
        <v>564</v>
      </c>
      <c r="G36" s="619">
        <v>6</v>
      </c>
      <c r="H36" s="620">
        <v>0.2</v>
      </c>
      <c r="I36" s="621">
        <v>0.2</v>
      </c>
      <c r="J36" s="620"/>
      <c r="K36" s="622"/>
      <c r="L36" s="622"/>
      <c r="M36" s="622"/>
      <c r="N36" s="623"/>
      <c r="O36" s="622">
        <v>0.2</v>
      </c>
      <c r="P36" s="624">
        <v>0</v>
      </c>
      <c r="Q36" s="624">
        <v>0</v>
      </c>
      <c r="R36" s="624">
        <v>0</v>
      </c>
      <c r="S36" s="623">
        <v>0</v>
      </c>
      <c r="T36" s="1477" t="s">
        <v>831</v>
      </c>
      <c r="U36" s="1478">
        <v>0</v>
      </c>
      <c r="V36" s="1478">
        <v>0</v>
      </c>
      <c r="W36" s="1478">
        <v>0</v>
      </c>
      <c r="X36" s="1478">
        <v>0</v>
      </c>
      <c r="Y36" s="1478">
        <v>0</v>
      </c>
      <c r="Z36" s="1479">
        <v>0</v>
      </c>
    </row>
    <row r="37" spans="1:26" ht="12.75">
      <c r="A37" s="616"/>
      <c r="B37" s="625">
        <v>11</v>
      </c>
      <c r="C37" s="618"/>
      <c r="D37" s="618">
        <v>66</v>
      </c>
      <c r="E37" s="618" t="s">
        <v>830</v>
      </c>
      <c r="F37" s="619" t="s">
        <v>740</v>
      </c>
      <c r="G37" s="619">
        <v>12</v>
      </c>
      <c r="H37" s="620">
        <v>0.3</v>
      </c>
      <c r="I37" s="621">
        <v>0.3</v>
      </c>
      <c r="J37" s="620"/>
      <c r="K37" s="622"/>
      <c r="L37" s="622"/>
      <c r="M37" s="622"/>
      <c r="N37" s="623"/>
      <c r="O37" s="622">
        <v>0.3</v>
      </c>
      <c r="P37" s="624">
        <v>0</v>
      </c>
      <c r="Q37" s="624">
        <v>0</v>
      </c>
      <c r="R37" s="624">
        <v>0</v>
      </c>
      <c r="S37" s="623">
        <v>0</v>
      </c>
      <c r="T37" s="1477" t="s">
        <v>832</v>
      </c>
      <c r="U37" s="1478">
        <v>0</v>
      </c>
      <c r="V37" s="1478">
        <v>0</v>
      </c>
      <c r="W37" s="1478">
        <v>0</v>
      </c>
      <c r="X37" s="1478">
        <v>0</v>
      </c>
      <c r="Y37" s="1478">
        <v>0</v>
      </c>
      <c r="Z37" s="1479">
        <v>0</v>
      </c>
    </row>
    <row r="38" spans="1:26" ht="12.75">
      <c r="A38" s="616"/>
      <c r="B38" s="625">
        <v>12</v>
      </c>
      <c r="C38" s="618"/>
      <c r="D38" s="618">
        <v>33</v>
      </c>
      <c r="E38" s="618" t="s">
        <v>823</v>
      </c>
      <c r="F38" s="619" t="s">
        <v>740</v>
      </c>
      <c r="G38" s="619">
        <v>6</v>
      </c>
      <c r="H38" s="620">
        <v>0.9</v>
      </c>
      <c r="I38" s="621">
        <v>0.9</v>
      </c>
      <c r="J38" s="620"/>
      <c r="K38" s="622"/>
      <c r="L38" s="622"/>
      <c r="M38" s="622"/>
      <c r="N38" s="623"/>
      <c r="O38" s="622">
        <v>0</v>
      </c>
      <c r="P38" s="624">
        <v>0.5</v>
      </c>
      <c r="Q38" s="624">
        <v>0.4</v>
      </c>
      <c r="R38" s="624">
        <v>0</v>
      </c>
      <c r="S38" s="623">
        <v>0</v>
      </c>
      <c r="T38" s="1286" t="s">
        <v>833</v>
      </c>
      <c r="U38" s="1287">
        <v>0</v>
      </c>
      <c r="V38" s="1287">
        <v>0</v>
      </c>
      <c r="W38" s="1287">
        <v>0</v>
      </c>
      <c r="X38" s="1287">
        <v>0</v>
      </c>
      <c r="Y38" s="1287">
        <v>0</v>
      </c>
      <c r="Z38" s="1288">
        <v>0</v>
      </c>
    </row>
    <row r="39" spans="1:26" ht="12.75">
      <c r="A39" s="616"/>
      <c r="B39" s="625">
        <v>13</v>
      </c>
      <c r="C39" s="618"/>
      <c r="D39" s="618" t="s">
        <v>815</v>
      </c>
      <c r="E39" s="618" t="s">
        <v>816</v>
      </c>
      <c r="F39" s="619" t="s">
        <v>669</v>
      </c>
      <c r="G39" s="619">
        <v>14</v>
      </c>
      <c r="H39" s="620">
        <v>1.7</v>
      </c>
      <c r="I39" s="621">
        <v>1.7</v>
      </c>
      <c r="J39" s="620"/>
      <c r="K39" s="622"/>
      <c r="L39" s="622"/>
      <c r="M39" s="622"/>
      <c r="N39" s="623"/>
      <c r="O39" s="622">
        <v>0.2</v>
      </c>
      <c r="P39" s="624">
        <v>0</v>
      </c>
      <c r="Q39" s="624">
        <v>0.7</v>
      </c>
      <c r="R39" s="624">
        <v>0.8</v>
      </c>
      <c r="S39" s="623">
        <v>0</v>
      </c>
      <c r="T39" s="1286" t="s">
        <v>834</v>
      </c>
      <c r="U39" s="1287">
        <v>0</v>
      </c>
      <c r="V39" s="1287">
        <v>0</v>
      </c>
      <c r="W39" s="1287">
        <v>0</v>
      </c>
      <c r="X39" s="1287">
        <v>0</v>
      </c>
      <c r="Y39" s="1287">
        <v>0</v>
      </c>
      <c r="Z39" s="1288">
        <v>0</v>
      </c>
    </row>
    <row r="40" spans="1:26" ht="12.75">
      <c r="A40" s="616"/>
      <c r="B40" s="625">
        <v>14</v>
      </c>
      <c r="C40" s="618"/>
      <c r="D40" s="618">
        <v>33</v>
      </c>
      <c r="E40" s="618" t="s">
        <v>816</v>
      </c>
      <c r="F40" s="619" t="s">
        <v>740</v>
      </c>
      <c r="G40" s="619">
        <v>15</v>
      </c>
      <c r="H40" s="620">
        <v>1.6</v>
      </c>
      <c r="I40" s="621">
        <v>1.6</v>
      </c>
      <c r="J40" s="620"/>
      <c r="K40" s="622"/>
      <c r="L40" s="622"/>
      <c r="M40" s="622"/>
      <c r="N40" s="623"/>
      <c r="O40" s="622">
        <v>0</v>
      </c>
      <c r="P40" s="624">
        <v>0</v>
      </c>
      <c r="Q40" s="624">
        <v>0.4</v>
      </c>
      <c r="R40" s="624">
        <v>0.6</v>
      </c>
      <c r="S40" s="623">
        <v>0.6</v>
      </c>
      <c r="T40" s="1286" t="s">
        <v>835</v>
      </c>
      <c r="U40" s="1287">
        <v>0</v>
      </c>
      <c r="V40" s="1287">
        <v>0</v>
      </c>
      <c r="W40" s="1287">
        <v>0</v>
      </c>
      <c r="X40" s="1287">
        <v>0</v>
      </c>
      <c r="Y40" s="1287">
        <v>0</v>
      </c>
      <c r="Z40" s="1288">
        <v>0</v>
      </c>
    </row>
    <row r="41" spans="1:26" ht="12.75">
      <c r="A41" s="616"/>
      <c r="B41" s="625">
        <v>15</v>
      </c>
      <c r="C41" s="618"/>
      <c r="D41" s="618" t="s">
        <v>815</v>
      </c>
      <c r="E41" s="618" t="s">
        <v>836</v>
      </c>
      <c r="F41" s="619" t="s">
        <v>740</v>
      </c>
      <c r="G41" s="619">
        <v>6.2</v>
      </c>
      <c r="H41" s="620">
        <v>0.8</v>
      </c>
      <c r="I41" s="621">
        <v>0.8</v>
      </c>
      <c r="J41" s="620"/>
      <c r="K41" s="622"/>
      <c r="L41" s="622"/>
      <c r="M41" s="622"/>
      <c r="N41" s="623"/>
      <c r="O41" s="622">
        <v>0.6</v>
      </c>
      <c r="P41" s="624">
        <v>0.2</v>
      </c>
      <c r="Q41" s="624">
        <v>0</v>
      </c>
      <c r="R41" s="624">
        <v>0</v>
      </c>
      <c r="S41" s="623">
        <v>0</v>
      </c>
      <c r="T41" s="1286" t="s">
        <v>837</v>
      </c>
      <c r="U41" s="1287">
        <v>0</v>
      </c>
      <c r="V41" s="1287">
        <v>0</v>
      </c>
      <c r="W41" s="1287">
        <v>0</v>
      </c>
      <c r="X41" s="1287">
        <v>0</v>
      </c>
      <c r="Y41" s="1287">
        <v>0</v>
      </c>
      <c r="Z41" s="1288">
        <v>0</v>
      </c>
    </row>
    <row r="42" spans="1:26" ht="12.75">
      <c r="A42" s="616"/>
      <c r="B42" s="625">
        <v>16</v>
      </c>
      <c r="C42" s="618"/>
      <c r="D42" s="618" t="s">
        <v>815</v>
      </c>
      <c r="E42" s="618" t="s">
        <v>816</v>
      </c>
      <c r="F42" s="619" t="s">
        <v>740</v>
      </c>
      <c r="G42" s="619">
        <v>15</v>
      </c>
      <c r="H42" s="620">
        <v>0.45</v>
      </c>
      <c r="I42" s="621">
        <v>0.45</v>
      </c>
      <c r="J42" s="620"/>
      <c r="K42" s="622"/>
      <c r="L42" s="622"/>
      <c r="M42" s="622"/>
      <c r="N42" s="623"/>
      <c r="O42" s="622">
        <v>0</v>
      </c>
      <c r="P42" s="624">
        <v>0.45</v>
      </c>
      <c r="Q42" s="624">
        <v>0</v>
      </c>
      <c r="R42" s="624">
        <v>0</v>
      </c>
      <c r="S42" s="623">
        <v>0</v>
      </c>
      <c r="T42" s="1477" t="s">
        <v>838</v>
      </c>
      <c r="U42" s="1478">
        <v>0</v>
      </c>
      <c r="V42" s="1478">
        <v>0</v>
      </c>
      <c r="W42" s="1478">
        <v>0</v>
      </c>
      <c r="X42" s="1478">
        <v>0</v>
      </c>
      <c r="Y42" s="1478">
        <v>0</v>
      </c>
      <c r="Z42" s="1479">
        <v>0</v>
      </c>
    </row>
    <row r="43" spans="1:26" ht="12.75">
      <c r="A43" s="616"/>
      <c r="B43" s="625">
        <v>17</v>
      </c>
      <c r="C43" s="618"/>
      <c r="D43" s="618">
        <v>33</v>
      </c>
      <c r="E43" s="618" t="s">
        <v>500</v>
      </c>
      <c r="F43" s="619" t="s">
        <v>500</v>
      </c>
      <c r="G43" s="619" t="s">
        <v>500</v>
      </c>
      <c r="H43" s="620">
        <v>2.3</v>
      </c>
      <c r="I43" s="621">
        <v>2.3</v>
      </c>
      <c r="J43" s="620"/>
      <c r="K43" s="622"/>
      <c r="L43" s="622"/>
      <c r="M43" s="622"/>
      <c r="N43" s="623"/>
      <c r="O43" s="622">
        <v>0.2</v>
      </c>
      <c r="P43" s="624">
        <v>0.2</v>
      </c>
      <c r="Q43" s="624">
        <v>0.2</v>
      </c>
      <c r="R43" s="624">
        <v>0.2</v>
      </c>
      <c r="S43" s="623">
        <v>1.5</v>
      </c>
      <c r="T43" s="1477" t="s">
        <v>839</v>
      </c>
      <c r="U43" s="1478">
        <v>0</v>
      </c>
      <c r="V43" s="1478">
        <v>0</v>
      </c>
      <c r="W43" s="1478">
        <v>0</v>
      </c>
      <c r="X43" s="1478">
        <v>0</v>
      </c>
      <c r="Y43" s="1478">
        <v>0</v>
      </c>
      <c r="Z43" s="1479">
        <v>0</v>
      </c>
    </row>
    <row r="44" spans="1:26" ht="12.75">
      <c r="A44" s="616"/>
      <c r="B44" s="625">
        <v>18</v>
      </c>
      <c r="C44" s="618"/>
      <c r="D44" s="618" t="s">
        <v>840</v>
      </c>
      <c r="E44" s="618" t="s">
        <v>816</v>
      </c>
      <c r="F44" s="619" t="s">
        <v>648</v>
      </c>
      <c r="G44" s="619">
        <v>11.3</v>
      </c>
      <c r="H44" s="620">
        <v>2.5</v>
      </c>
      <c r="I44" s="621">
        <v>0.5</v>
      </c>
      <c r="J44" s="620"/>
      <c r="K44" s="622"/>
      <c r="L44" s="622"/>
      <c r="M44" s="622">
        <v>1</v>
      </c>
      <c r="N44" s="623">
        <v>1</v>
      </c>
      <c r="O44" s="622">
        <v>0.5</v>
      </c>
      <c r="P44" s="624">
        <v>0</v>
      </c>
      <c r="Q44" s="624">
        <v>0</v>
      </c>
      <c r="R44" s="624">
        <v>0</v>
      </c>
      <c r="S44" s="623">
        <v>0</v>
      </c>
      <c r="T44" s="1477" t="s">
        <v>841</v>
      </c>
      <c r="U44" s="1478">
        <v>0</v>
      </c>
      <c r="V44" s="1478">
        <v>0</v>
      </c>
      <c r="W44" s="1478">
        <v>0</v>
      </c>
      <c r="X44" s="1478">
        <v>0</v>
      </c>
      <c r="Y44" s="1478">
        <v>0</v>
      </c>
      <c r="Z44" s="1479">
        <v>0</v>
      </c>
    </row>
    <row r="45" spans="1:26" ht="12.75">
      <c r="A45" s="616"/>
      <c r="B45" s="625">
        <v>19</v>
      </c>
      <c r="C45" s="618"/>
      <c r="D45" s="618" t="s">
        <v>840</v>
      </c>
      <c r="E45" s="618" t="s">
        <v>823</v>
      </c>
      <c r="F45" s="619" t="s">
        <v>648</v>
      </c>
      <c r="G45" s="619">
        <v>14.5</v>
      </c>
      <c r="H45" s="620">
        <v>2</v>
      </c>
      <c r="I45" s="621">
        <v>1.5</v>
      </c>
      <c r="J45" s="620"/>
      <c r="K45" s="622"/>
      <c r="L45" s="622"/>
      <c r="M45" s="622"/>
      <c r="N45" s="623">
        <v>0.5</v>
      </c>
      <c r="O45" s="622">
        <v>1.5</v>
      </c>
      <c r="P45" s="624">
        <v>0</v>
      </c>
      <c r="Q45" s="624">
        <v>0</v>
      </c>
      <c r="R45" s="624">
        <v>0</v>
      </c>
      <c r="S45" s="623">
        <v>0</v>
      </c>
      <c r="T45" s="1477" t="s">
        <v>842</v>
      </c>
      <c r="U45" s="1478">
        <v>0</v>
      </c>
      <c r="V45" s="1478">
        <v>0</v>
      </c>
      <c r="W45" s="1478">
        <v>0</v>
      </c>
      <c r="X45" s="1478">
        <v>0</v>
      </c>
      <c r="Y45" s="1478">
        <v>0</v>
      </c>
      <c r="Z45" s="1479">
        <v>0</v>
      </c>
    </row>
    <row r="46" spans="1:26" ht="12.75">
      <c r="A46" s="616"/>
      <c r="B46" s="625">
        <v>20</v>
      </c>
      <c r="C46" s="626"/>
      <c r="D46" s="618" t="s">
        <v>843</v>
      </c>
      <c r="E46" s="618" t="s">
        <v>818</v>
      </c>
      <c r="F46" s="619" t="s">
        <v>667</v>
      </c>
      <c r="G46" s="619">
        <v>11</v>
      </c>
      <c r="H46" s="620">
        <v>1</v>
      </c>
      <c r="I46" s="621">
        <v>1</v>
      </c>
      <c r="J46" s="620"/>
      <c r="K46" s="622"/>
      <c r="L46" s="622"/>
      <c r="M46" s="622"/>
      <c r="N46" s="623"/>
      <c r="O46" s="622">
        <v>0</v>
      </c>
      <c r="P46" s="624">
        <v>1</v>
      </c>
      <c r="Q46" s="624">
        <v>0</v>
      </c>
      <c r="R46" s="624">
        <v>0</v>
      </c>
      <c r="S46" s="623">
        <v>0</v>
      </c>
      <c r="T46" s="1477" t="s">
        <v>844</v>
      </c>
      <c r="U46" s="1478">
        <v>0</v>
      </c>
      <c r="V46" s="1478">
        <v>0</v>
      </c>
      <c r="W46" s="1478">
        <v>0</v>
      </c>
      <c r="X46" s="1478">
        <v>0</v>
      </c>
      <c r="Y46" s="1478">
        <v>0</v>
      </c>
      <c r="Z46" s="1479">
        <v>0</v>
      </c>
    </row>
    <row r="47" spans="1:26" ht="13.5" thickBot="1">
      <c r="A47" s="616"/>
      <c r="B47" s="633"/>
      <c r="C47" s="634" t="s">
        <v>810</v>
      </c>
      <c r="D47" s="618" t="s">
        <v>843</v>
      </c>
      <c r="E47" s="618" t="s">
        <v>816</v>
      </c>
      <c r="F47" s="619" t="s">
        <v>669</v>
      </c>
      <c r="G47" s="619">
        <v>40</v>
      </c>
      <c r="H47" s="620">
        <v>1</v>
      </c>
      <c r="I47" s="621">
        <v>1</v>
      </c>
      <c r="J47" s="620"/>
      <c r="K47" s="622"/>
      <c r="L47" s="622"/>
      <c r="M47" s="622"/>
      <c r="N47" s="623"/>
      <c r="O47" s="622">
        <v>0</v>
      </c>
      <c r="P47" s="624">
        <v>0</v>
      </c>
      <c r="Q47" s="624">
        <v>0</v>
      </c>
      <c r="R47" s="624">
        <v>0</v>
      </c>
      <c r="S47" s="623">
        <v>1</v>
      </c>
      <c r="T47" s="1477" t="s">
        <v>845</v>
      </c>
      <c r="U47" s="1478">
        <v>0</v>
      </c>
      <c r="V47" s="1478">
        <v>0</v>
      </c>
      <c r="W47" s="1478">
        <v>0</v>
      </c>
      <c r="X47" s="1478">
        <v>0</v>
      </c>
      <c r="Y47" s="1478">
        <v>0</v>
      </c>
      <c r="Z47" s="1479">
        <v>0</v>
      </c>
    </row>
    <row r="48" spans="4:26" ht="12.75">
      <c r="D48" s="618" t="s">
        <v>843</v>
      </c>
      <c r="E48" s="618" t="s">
        <v>818</v>
      </c>
      <c r="F48" s="619" t="s">
        <v>670</v>
      </c>
      <c r="G48" s="619">
        <v>40</v>
      </c>
      <c r="H48" s="620">
        <v>1</v>
      </c>
      <c r="I48" s="621">
        <v>1</v>
      </c>
      <c r="J48" s="620"/>
      <c r="K48" s="622"/>
      <c r="L48" s="622"/>
      <c r="M48" s="622"/>
      <c r="N48" s="623"/>
      <c r="O48" s="622">
        <v>0</v>
      </c>
      <c r="P48" s="624">
        <v>0</v>
      </c>
      <c r="Q48" s="624">
        <v>0</v>
      </c>
      <c r="R48" s="624">
        <v>1</v>
      </c>
      <c r="S48" s="623">
        <v>0</v>
      </c>
      <c r="T48" s="1477" t="s">
        <v>845</v>
      </c>
      <c r="U48" s="1478">
        <v>0</v>
      </c>
      <c r="V48" s="1478">
        <v>0</v>
      </c>
      <c r="W48" s="1478">
        <v>0</v>
      </c>
      <c r="X48" s="1478">
        <v>0</v>
      </c>
      <c r="Y48" s="1478">
        <v>0</v>
      </c>
      <c r="Z48" s="1479">
        <v>0</v>
      </c>
    </row>
    <row r="49" spans="4:26" ht="12.75">
      <c r="D49" s="618" t="s">
        <v>840</v>
      </c>
      <c r="E49" s="618" t="s">
        <v>816</v>
      </c>
      <c r="F49" s="619" t="s">
        <v>670</v>
      </c>
      <c r="G49" s="619">
        <v>30</v>
      </c>
      <c r="H49" s="620">
        <v>1.2</v>
      </c>
      <c r="I49" s="621">
        <v>1.2</v>
      </c>
      <c r="J49" s="620"/>
      <c r="K49" s="622"/>
      <c r="L49" s="622"/>
      <c r="M49" s="622"/>
      <c r="N49" s="623"/>
      <c r="O49" s="622">
        <v>0</v>
      </c>
      <c r="P49" s="624">
        <v>0</v>
      </c>
      <c r="Q49" s="624">
        <v>0</v>
      </c>
      <c r="R49" s="624">
        <v>0</v>
      </c>
      <c r="S49" s="623">
        <v>1.2</v>
      </c>
      <c r="T49" s="1477" t="s">
        <v>846</v>
      </c>
      <c r="U49" s="1478">
        <v>0</v>
      </c>
      <c r="V49" s="1478">
        <v>0</v>
      </c>
      <c r="W49" s="1478">
        <v>0</v>
      </c>
      <c r="X49" s="1478">
        <v>0</v>
      </c>
      <c r="Y49" s="1478">
        <v>0</v>
      </c>
      <c r="Z49" s="1479">
        <v>0</v>
      </c>
    </row>
    <row r="50" spans="4:26" ht="12.75">
      <c r="D50" s="626">
        <v>132</v>
      </c>
      <c r="E50" s="626" t="s">
        <v>500</v>
      </c>
      <c r="F50" s="627" t="s">
        <v>500</v>
      </c>
      <c r="G50" s="627" t="s">
        <v>500</v>
      </c>
      <c r="H50" s="628">
        <v>0.6</v>
      </c>
      <c r="I50" s="629">
        <v>0.6</v>
      </c>
      <c r="J50" s="628"/>
      <c r="K50" s="630"/>
      <c r="L50" s="630"/>
      <c r="M50" s="630"/>
      <c r="N50" s="631"/>
      <c r="O50" s="630">
        <v>0</v>
      </c>
      <c r="P50" s="632">
        <v>0</v>
      </c>
      <c r="Q50" s="632">
        <v>0.6</v>
      </c>
      <c r="R50" s="632">
        <v>0</v>
      </c>
      <c r="S50" s="631" t="s">
        <v>500</v>
      </c>
      <c r="T50" s="1480" t="s">
        <v>847</v>
      </c>
      <c r="U50" s="1481">
        <v>0</v>
      </c>
      <c r="V50" s="1481">
        <v>0</v>
      </c>
      <c r="W50" s="1481">
        <v>0</v>
      </c>
      <c r="X50" s="1481">
        <v>0</v>
      </c>
      <c r="Y50" s="1481">
        <v>0</v>
      </c>
      <c r="Z50" s="1482">
        <v>0</v>
      </c>
    </row>
    <row r="51" spans="4:26" ht="13.5" thickBot="1">
      <c r="D51" s="635"/>
      <c r="E51" s="635"/>
      <c r="F51" s="635"/>
      <c r="G51" s="636">
        <v>319.7</v>
      </c>
      <c r="H51" s="637">
        <v>24.2</v>
      </c>
      <c r="I51" s="638">
        <v>21.7</v>
      </c>
      <c r="J51" s="639">
        <v>0</v>
      </c>
      <c r="K51" s="639">
        <v>0</v>
      </c>
      <c r="L51" s="639">
        <v>0</v>
      </c>
      <c r="M51" s="639">
        <v>1</v>
      </c>
      <c r="N51" s="640">
        <v>1.5</v>
      </c>
      <c r="O51" s="641">
        <v>4.8</v>
      </c>
      <c r="P51" s="639">
        <v>4.2</v>
      </c>
      <c r="Q51" s="642">
        <v>4.3</v>
      </c>
      <c r="R51" s="642">
        <v>3.9</v>
      </c>
      <c r="S51" s="643">
        <v>4.5</v>
      </c>
      <c r="T51" s="644"/>
      <c r="U51" s="645"/>
      <c r="V51" s="645"/>
      <c r="W51" s="645"/>
      <c r="X51" s="645"/>
      <c r="Y51" s="645"/>
      <c r="Z51" s="646"/>
    </row>
  </sheetData>
  <sheetProtection/>
  <mergeCells count="22">
    <mergeCell ref="T29:Z29"/>
    <mergeCell ref="T30:Z30"/>
    <mergeCell ref="T31:Z31"/>
    <mergeCell ref="T32:Z32"/>
    <mergeCell ref="T25:Z25"/>
    <mergeCell ref="T26:Z26"/>
    <mergeCell ref="T27:Z27"/>
    <mergeCell ref="T28:Z28"/>
    <mergeCell ref="T42:Z42"/>
    <mergeCell ref="T43:Z43"/>
    <mergeCell ref="T44:Z44"/>
    <mergeCell ref="T37:Z37"/>
    <mergeCell ref="T33:Z33"/>
    <mergeCell ref="T34:Z34"/>
    <mergeCell ref="T35:Z35"/>
    <mergeCell ref="T36:Z36"/>
    <mergeCell ref="T47:Z47"/>
    <mergeCell ref="T48:Z48"/>
    <mergeCell ref="T49:Z49"/>
    <mergeCell ref="T50:Z50"/>
    <mergeCell ref="T45:Z45"/>
    <mergeCell ref="T46:Z46"/>
  </mergeCells>
  <hyperlinks>
    <hyperlink ref="G1" location="Inputs!A1" display="Index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C1">
      <selection activeCell="D35" sqref="D35"/>
    </sheetView>
  </sheetViews>
  <sheetFormatPr defaultColWidth="8.8515625" defaultRowHeight="12.75"/>
  <cols>
    <col min="1" max="1" width="8.8515625" style="0" customWidth="1"/>
    <col min="2" max="2" width="10.421875" style="0" customWidth="1"/>
    <col min="3" max="3" width="14.140625" style="0" customWidth="1"/>
  </cols>
  <sheetData>
    <row r="1" spans="1:6" ht="12.75">
      <c r="A1" s="388" t="s">
        <v>499</v>
      </c>
      <c r="F1" s="390" t="s">
        <v>775</v>
      </c>
    </row>
    <row r="2" ht="12.75">
      <c r="A2" s="388"/>
    </row>
    <row r="3" ht="12.75">
      <c r="A3" s="388" t="s">
        <v>206</v>
      </c>
    </row>
    <row r="6" spans="2:19" ht="12.75">
      <c r="B6" s="487" t="s">
        <v>207</v>
      </c>
      <c r="C6" s="655"/>
      <c r="D6" s="655"/>
      <c r="E6" s="655"/>
      <c r="F6" s="655"/>
      <c r="G6" s="655"/>
      <c r="H6" s="655"/>
      <c r="I6" s="655"/>
      <c r="J6" s="655"/>
      <c r="K6" s="655"/>
      <c r="L6" s="655"/>
      <c r="M6" s="655"/>
      <c r="N6" s="655"/>
      <c r="O6" s="655"/>
      <c r="P6" s="655"/>
      <c r="Q6" s="655"/>
      <c r="R6" s="655"/>
      <c r="S6" s="655"/>
    </row>
    <row r="7" spans="2:19" ht="13.5" thickBot="1">
      <c r="B7" s="655"/>
      <c r="C7" s="655"/>
      <c r="D7" s="655"/>
      <c r="E7" s="655"/>
      <c r="F7" s="655"/>
      <c r="G7" s="655"/>
      <c r="H7" s="655"/>
      <c r="I7" s="655"/>
      <c r="J7" s="655"/>
      <c r="K7" s="655"/>
      <c r="L7" s="655"/>
      <c r="M7" s="655"/>
      <c r="N7" s="655"/>
      <c r="O7" s="655"/>
      <c r="P7" s="655"/>
      <c r="Q7" s="655"/>
      <c r="R7" s="655"/>
      <c r="S7" s="655"/>
    </row>
    <row r="8" spans="2:19" ht="12.75">
      <c r="B8" s="656"/>
      <c r="C8" s="1368"/>
      <c r="D8" s="1369" t="s">
        <v>208</v>
      </c>
      <c r="E8" s="1370"/>
      <c r="F8" s="1371"/>
      <c r="G8" s="1369" t="s">
        <v>187</v>
      </c>
      <c r="H8" s="1370"/>
      <c r="I8" s="1371"/>
      <c r="J8" s="1372"/>
      <c r="K8" s="1372"/>
      <c r="L8" s="1372"/>
      <c r="M8" s="1372"/>
      <c r="N8" s="1372"/>
      <c r="O8" s="1372"/>
      <c r="P8" s="1372"/>
      <c r="Q8" s="1372"/>
      <c r="R8" s="1372"/>
      <c r="S8" s="1372"/>
    </row>
    <row r="9" spans="2:19" ht="12.75">
      <c r="B9" s="657"/>
      <c r="C9" s="1373"/>
      <c r="D9" s="1374" t="s">
        <v>807</v>
      </c>
      <c r="E9" s="1375" t="s">
        <v>809</v>
      </c>
      <c r="F9" s="1376" t="s">
        <v>803</v>
      </c>
      <c r="G9" s="1374" t="s">
        <v>807</v>
      </c>
      <c r="H9" s="1375" t="s">
        <v>809</v>
      </c>
      <c r="I9" s="1376" t="s">
        <v>803</v>
      </c>
      <c r="J9" s="1372"/>
      <c r="K9" s="1372"/>
      <c r="L9" s="1372"/>
      <c r="M9" s="1372"/>
      <c r="N9" s="1372"/>
      <c r="O9" s="1372"/>
      <c r="P9" s="1372"/>
      <c r="Q9" s="1372"/>
      <c r="R9" s="1372"/>
      <c r="S9" s="1372"/>
    </row>
    <row r="10" spans="2:19" ht="12.75">
      <c r="B10" s="658" t="s">
        <v>411</v>
      </c>
      <c r="C10" s="1377"/>
      <c r="D10" s="659">
        <v>127</v>
      </c>
      <c r="E10" s="660">
        <v>172</v>
      </c>
      <c r="F10" s="661">
        <v>207</v>
      </c>
      <c r="G10" s="659">
        <v>127</v>
      </c>
      <c r="H10" s="660">
        <v>172</v>
      </c>
      <c r="I10" s="661">
        <v>207</v>
      </c>
      <c r="J10" s="1372"/>
      <c r="K10" s="1372"/>
      <c r="L10" s="1372"/>
      <c r="M10" s="1372"/>
      <c r="N10" s="1372"/>
      <c r="O10" s="1372"/>
      <c r="P10" s="1372"/>
      <c r="Q10" s="1372"/>
      <c r="R10" s="1372"/>
      <c r="S10" s="1372"/>
    </row>
    <row r="11" spans="2:19" ht="12.75">
      <c r="B11" s="658" t="s">
        <v>173</v>
      </c>
      <c r="C11" s="1377"/>
      <c r="D11" s="662">
        <v>4</v>
      </c>
      <c r="E11" s="663">
        <v>9</v>
      </c>
      <c r="F11" s="664">
        <v>4</v>
      </c>
      <c r="G11" s="662">
        <v>4</v>
      </c>
      <c r="H11" s="663">
        <v>9</v>
      </c>
      <c r="I11" s="664">
        <v>4</v>
      </c>
      <c r="J11" s="1372"/>
      <c r="K11" s="1372"/>
      <c r="L11" s="1372"/>
      <c r="M11" s="1372"/>
      <c r="N11" s="1372"/>
      <c r="O11" s="1372"/>
      <c r="P11" s="1372"/>
      <c r="Q11" s="1372"/>
      <c r="R11" s="1372"/>
      <c r="S11" s="1372"/>
    </row>
    <row r="12" spans="2:19" ht="13.5" thickBot="1">
      <c r="B12" s="665" t="s">
        <v>296</v>
      </c>
      <c r="C12" s="1378"/>
      <c r="D12" s="666">
        <v>0</v>
      </c>
      <c r="E12" s="667">
        <v>0</v>
      </c>
      <c r="F12" s="668">
        <v>0</v>
      </c>
      <c r="G12" s="666">
        <v>0</v>
      </c>
      <c r="H12" s="667">
        <v>0</v>
      </c>
      <c r="I12" s="668">
        <v>0</v>
      </c>
      <c r="J12" s="1372"/>
      <c r="K12" s="1372"/>
      <c r="L12" s="1372"/>
      <c r="M12" s="1372"/>
      <c r="N12" s="1372"/>
      <c r="O12" s="1372"/>
      <c r="P12" s="1372"/>
      <c r="Q12" s="1372"/>
      <c r="R12" s="1372"/>
      <c r="S12" s="1372"/>
    </row>
    <row r="13" spans="2:19" ht="12.75">
      <c r="B13" s="655"/>
      <c r="C13" s="1372"/>
      <c r="D13" s="1372"/>
      <c r="E13" s="1372"/>
      <c r="F13" s="1372"/>
      <c r="G13" s="1372"/>
      <c r="H13" s="1372"/>
      <c r="I13" s="1372"/>
      <c r="J13" s="1372"/>
      <c r="K13" s="1372"/>
      <c r="L13" s="1372"/>
      <c r="M13" s="1372"/>
      <c r="N13" s="1372"/>
      <c r="O13" s="1372"/>
      <c r="P13" s="1372"/>
      <c r="Q13" s="1372"/>
      <c r="R13" s="1372"/>
      <c r="S13" s="1372"/>
    </row>
    <row r="14" spans="2:19" ht="12.75">
      <c r="B14" s="487" t="s">
        <v>297</v>
      </c>
      <c r="C14" s="1372"/>
      <c r="D14" s="1372"/>
      <c r="E14" s="1372"/>
      <c r="F14" s="1372"/>
      <c r="G14" s="1372"/>
      <c r="H14" s="1372"/>
      <c r="I14" s="1372"/>
      <c r="J14" s="1372"/>
      <c r="K14" s="1372"/>
      <c r="L14" s="1372"/>
      <c r="M14" s="1372"/>
      <c r="N14" s="1372"/>
      <c r="O14" s="1372"/>
      <c r="P14" s="1372"/>
      <c r="Q14" s="1372"/>
      <c r="R14" s="1372"/>
      <c r="S14" s="1372"/>
    </row>
    <row r="15" spans="2:19" ht="13.5" thickBot="1">
      <c r="B15" s="655"/>
      <c r="C15" s="1372"/>
      <c r="D15" s="1372"/>
      <c r="E15" s="1372"/>
      <c r="F15" s="1372"/>
      <c r="G15" s="1372"/>
      <c r="H15" s="1372"/>
      <c r="I15" s="1372"/>
      <c r="J15" s="1372"/>
      <c r="K15" s="1372"/>
      <c r="L15" s="1372"/>
      <c r="M15" s="1372"/>
      <c r="N15" s="1372"/>
      <c r="O15" s="1372"/>
      <c r="P15" s="1372"/>
      <c r="Q15" s="1372"/>
      <c r="R15" s="1372"/>
      <c r="S15" s="1372"/>
    </row>
    <row r="16" spans="2:19" ht="12.75">
      <c r="B16" s="656" t="s">
        <v>200</v>
      </c>
      <c r="C16" s="1368"/>
      <c r="D16" s="1369" t="s">
        <v>646</v>
      </c>
      <c r="E16" s="1370"/>
      <c r="F16" s="1371"/>
      <c r="G16" s="1369" t="s">
        <v>647</v>
      </c>
      <c r="H16" s="1370"/>
      <c r="I16" s="1371"/>
      <c r="J16" s="1372"/>
      <c r="K16" s="1372"/>
      <c r="L16" s="1372"/>
      <c r="M16" s="1372"/>
      <c r="N16" s="1372"/>
      <c r="O16" s="1372"/>
      <c r="P16" s="1372"/>
      <c r="Q16" s="1372"/>
      <c r="R16" s="1372"/>
      <c r="S16" s="1372"/>
    </row>
    <row r="17" spans="2:19" ht="12.75">
      <c r="B17" s="657"/>
      <c r="C17" s="1373"/>
      <c r="D17" s="1374" t="s">
        <v>807</v>
      </c>
      <c r="E17" s="1375" t="s">
        <v>809</v>
      </c>
      <c r="F17" s="1376" t="s">
        <v>803</v>
      </c>
      <c r="G17" s="1374" t="s">
        <v>807</v>
      </c>
      <c r="H17" s="1375" t="s">
        <v>809</v>
      </c>
      <c r="I17" s="1376" t="s">
        <v>803</v>
      </c>
      <c r="J17" s="1372"/>
      <c r="K17" s="1372"/>
      <c r="L17" s="1372"/>
      <c r="M17" s="1372"/>
      <c r="N17" s="1372"/>
      <c r="O17" s="1372"/>
      <c r="P17" s="1372"/>
      <c r="Q17" s="1372"/>
      <c r="R17" s="1372"/>
      <c r="S17" s="1372"/>
    </row>
    <row r="18" spans="2:19" ht="12.75">
      <c r="B18" s="658" t="s">
        <v>201</v>
      </c>
      <c r="C18" s="1379"/>
      <c r="D18" s="662">
        <v>0</v>
      </c>
      <c r="E18" s="663">
        <v>0</v>
      </c>
      <c r="F18" s="669">
        <v>0</v>
      </c>
      <c r="G18" s="662">
        <v>0</v>
      </c>
      <c r="H18" s="663">
        <v>1</v>
      </c>
      <c r="I18" s="669">
        <v>0</v>
      </c>
      <c r="J18" s="1372"/>
      <c r="K18" s="1372"/>
      <c r="L18" s="1372"/>
      <c r="M18" s="1372"/>
      <c r="N18" s="1372"/>
      <c r="O18" s="1372"/>
      <c r="P18" s="1372"/>
      <c r="Q18" s="1372"/>
      <c r="R18" s="1372"/>
      <c r="S18" s="1372"/>
    </row>
    <row r="19" spans="2:19" ht="12.75">
      <c r="B19" s="658" t="s">
        <v>334</v>
      </c>
      <c r="C19" s="1379"/>
      <c r="D19" s="662">
        <v>0</v>
      </c>
      <c r="E19" s="663">
        <v>0</v>
      </c>
      <c r="F19" s="669">
        <v>0</v>
      </c>
      <c r="G19" s="662">
        <v>0</v>
      </c>
      <c r="H19" s="663">
        <v>0</v>
      </c>
      <c r="I19" s="669">
        <v>0</v>
      </c>
      <c r="J19" s="1372"/>
      <c r="K19" s="1372"/>
      <c r="L19" s="1372"/>
      <c r="M19" s="1372"/>
      <c r="N19" s="1372"/>
      <c r="O19" s="1372"/>
      <c r="P19" s="1372"/>
      <c r="Q19" s="1372"/>
      <c r="R19" s="1372"/>
      <c r="S19" s="1372"/>
    </row>
    <row r="20" spans="2:19" ht="13.5" thickBot="1">
      <c r="B20" s="665" t="s">
        <v>335</v>
      </c>
      <c r="C20" s="1378"/>
      <c r="D20" s="666">
        <v>0</v>
      </c>
      <c r="E20" s="670">
        <v>0</v>
      </c>
      <c r="F20" s="668">
        <v>0</v>
      </c>
      <c r="G20" s="666">
        <v>0</v>
      </c>
      <c r="H20" s="670">
        <v>0</v>
      </c>
      <c r="I20" s="668">
        <v>0</v>
      </c>
      <c r="J20" s="1372"/>
      <c r="K20" s="1372"/>
      <c r="L20" s="1372"/>
      <c r="M20" s="1372"/>
      <c r="N20" s="1372"/>
      <c r="O20" s="1372"/>
      <c r="P20" s="1372"/>
      <c r="Q20" s="1372"/>
      <c r="R20" s="1372"/>
      <c r="S20" s="1372"/>
    </row>
    <row r="21" spans="2:19" ht="12.75">
      <c r="B21" s="655"/>
      <c r="C21" s="1372"/>
      <c r="D21" s="1372"/>
      <c r="E21" s="1372"/>
      <c r="F21" s="1372"/>
      <c r="G21" s="1372"/>
      <c r="H21" s="1372"/>
      <c r="I21" s="1372"/>
      <c r="J21" s="1372"/>
      <c r="K21" s="1372"/>
      <c r="L21" s="1372"/>
      <c r="M21" s="1372"/>
      <c r="N21" s="1372"/>
      <c r="O21" s="1372"/>
      <c r="P21" s="1372"/>
      <c r="Q21" s="1372"/>
      <c r="R21" s="1372"/>
      <c r="S21" s="1372"/>
    </row>
    <row r="22" spans="2:19" ht="12.75">
      <c r="B22" s="487" t="s">
        <v>336</v>
      </c>
      <c r="C22" s="1372"/>
      <c r="D22" s="1372"/>
      <c r="E22" s="1372"/>
      <c r="F22" s="1372"/>
      <c r="G22" s="1372"/>
      <c r="H22" s="1372"/>
      <c r="I22" s="1372"/>
      <c r="J22" s="1372"/>
      <c r="K22" s="1372"/>
      <c r="L22" s="1372"/>
      <c r="M22" s="1372"/>
      <c r="N22" s="1372"/>
      <c r="O22" s="1372"/>
      <c r="P22" s="1372"/>
      <c r="Q22" s="1372"/>
      <c r="R22" s="1372"/>
      <c r="S22" s="1372"/>
    </row>
    <row r="23" spans="2:19" ht="13.5" thickBot="1">
      <c r="B23" s="487"/>
      <c r="C23" s="1372"/>
      <c r="D23" s="1372"/>
      <c r="E23" s="1372"/>
      <c r="F23" s="1372"/>
      <c r="G23" s="1372"/>
      <c r="H23" s="1372"/>
      <c r="I23" s="1372"/>
      <c r="J23" s="1372"/>
      <c r="K23" s="1372"/>
      <c r="L23" s="1372"/>
      <c r="M23" s="1372"/>
      <c r="N23" s="1372"/>
      <c r="O23" s="1372"/>
      <c r="P23" s="1372"/>
      <c r="Q23" s="1372"/>
      <c r="R23" s="1372"/>
      <c r="S23" s="1372"/>
    </row>
    <row r="24" spans="2:19" ht="12.75">
      <c r="B24" s="671"/>
      <c r="C24" s="1319" t="s">
        <v>646</v>
      </c>
      <c r="D24" s="1320"/>
      <c r="E24" s="1320"/>
      <c r="F24" s="1320"/>
      <c r="G24" s="1380"/>
      <c r="H24" s="1319" t="s">
        <v>647</v>
      </c>
      <c r="I24" s="1381"/>
      <c r="J24" s="1381"/>
      <c r="K24" s="1381"/>
      <c r="L24" s="1380"/>
      <c r="M24" s="672"/>
      <c r="N24" s="1343" t="s">
        <v>646</v>
      </c>
      <c r="O24" s="1344"/>
      <c r="P24" s="1345"/>
      <c r="Q24" s="672"/>
      <c r="R24" s="1343" t="s">
        <v>647</v>
      </c>
      <c r="S24" s="1345"/>
    </row>
    <row r="25" spans="2:19" ht="25.5">
      <c r="B25" s="561"/>
      <c r="C25" s="1346" t="s">
        <v>561</v>
      </c>
      <c r="D25" s="1347" t="s">
        <v>562</v>
      </c>
      <c r="E25" s="1347" t="s">
        <v>558</v>
      </c>
      <c r="F25" s="1347" t="s">
        <v>563</v>
      </c>
      <c r="G25" s="1348" t="s">
        <v>564</v>
      </c>
      <c r="H25" s="1346" t="s">
        <v>648</v>
      </c>
      <c r="I25" s="1347" t="s">
        <v>667</v>
      </c>
      <c r="J25" s="1347" t="s">
        <v>668</v>
      </c>
      <c r="K25" s="1347" t="s">
        <v>669</v>
      </c>
      <c r="L25" s="1348" t="s">
        <v>670</v>
      </c>
      <c r="M25" s="672"/>
      <c r="N25" s="1346" t="s">
        <v>657</v>
      </c>
      <c r="O25" s="1347" t="s">
        <v>658</v>
      </c>
      <c r="P25" s="1348" t="s">
        <v>810</v>
      </c>
      <c r="Q25" s="672"/>
      <c r="R25" s="1346" t="s">
        <v>658</v>
      </c>
      <c r="S25" s="1348" t="s">
        <v>659</v>
      </c>
    </row>
    <row r="26" spans="2:19" ht="12.75">
      <c r="B26" s="673"/>
      <c r="C26" s="1365" t="s">
        <v>420</v>
      </c>
      <c r="D26" s="1366" t="s">
        <v>420</v>
      </c>
      <c r="E26" s="1366" t="s">
        <v>420</v>
      </c>
      <c r="F26" s="1366" t="s">
        <v>420</v>
      </c>
      <c r="G26" s="1367" t="s">
        <v>420</v>
      </c>
      <c r="H26" s="1365" t="s">
        <v>420</v>
      </c>
      <c r="I26" s="1366" t="s">
        <v>420</v>
      </c>
      <c r="J26" s="1366" t="s">
        <v>420</v>
      </c>
      <c r="K26" s="1366" t="s">
        <v>420</v>
      </c>
      <c r="L26" s="1367" t="s">
        <v>420</v>
      </c>
      <c r="M26" s="674"/>
      <c r="N26" s="1365" t="s">
        <v>420</v>
      </c>
      <c r="O26" s="1366" t="s">
        <v>420</v>
      </c>
      <c r="P26" s="1367" t="s">
        <v>420</v>
      </c>
      <c r="Q26" s="674"/>
      <c r="R26" s="1365" t="s">
        <v>420</v>
      </c>
      <c r="S26" s="1367" t="s">
        <v>420</v>
      </c>
    </row>
    <row r="27" spans="2:19" ht="12.75">
      <c r="B27" s="563" t="s">
        <v>421</v>
      </c>
      <c r="C27" s="1382"/>
      <c r="D27" s="1383"/>
      <c r="E27" s="1383"/>
      <c r="F27" s="1383"/>
      <c r="G27" s="1384"/>
      <c r="H27" s="1382"/>
      <c r="I27" s="1383"/>
      <c r="J27" s="1383"/>
      <c r="K27" s="1383"/>
      <c r="L27" s="1384"/>
      <c r="M27" s="674"/>
      <c r="N27" s="1382"/>
      <c r="O27" s="1385"/>
      <c r="P27" s="1386"/>
      <c r="Q27" s="674"/>
      <c r="R27" s="1382"/>
      <c r="S27" s="1387"/>
    </row>
    <row r="28" spans="2:19" ht="12.75">
      <c r="B28" s="675" t="s">
        <v>422</v>
      </c>
      <c r="C28" s="470">
        <v>0</v>
      </c>
      <c r="D28" s="471">
        <v>0</v>
      </c>
      <c r="E28" s="471">
        <v>0</v>
      </c>
      <c r="F28" s="471">
        <v>0</v>
      </c>
      <c r="G28" s="472">
        <v>0</v>
      </c>
      <c r="H28" s="470">
        <v>0</v>
      </c>
      <c r="I28" s="473">
        <v>0</v>
      </c>
      <c r="J28" s="473">
        <v>0</v>
      </c>
      <c r="K28" s="473">
        <v>0</v>
      </c>
      <c r="L28" s="472">
        <v>0</v>
      </c>
      <c r="M28" s="672"/>
      <c r="N28" s="1388">
        <v>0</v>
      </c>
      <c r="O28" s="1389">
        <v>0</v>
      </c>
      <c r="P28" s="1390">
        <v>0</v>
      </c>
      <c r="Q28" s="672"/>
      <c r="R28" s="1388">
        <v>0</v>
      </c>
      <c r="S28" s="1305" t="s">
        <v>814</v>
      </c>
    </row>
    <row r="29" spans="2:19" ht="12.75">
      <c r="B29" s="675" t="s">
        <v>803</v>
      </c>
      <c r="C29" s="470">
        <v>0</v>
      </c>
      <c r="D29" s="471">
        <v>0</v>
      </c>
      <c r="E29" s="471">
        <v>0</v>
      </c>
      <c r="F29" s="471">
        <v>0</v>
      </c>
      <c r="G29" s="472">
        <v>0</v>
      </c>
      <c r="H29" s="470">
        <v>0</v>
      </c>
      <c r="I29" s="473">
        <v>0</v>
      </c>
      <c r="J29" s="473">
        <v>0</v>
      </c>
      <c r="K29" s="473">
        <v>0</v>
      </c>
      <c r="L29" s="472">
        <v>0</v>
      </c>
      <c r="M29" s="672"/>
      <c r="N29" s="1388">
        <v>0</v>
      </c>
      <c r="O29" s="1389">
        <v>0</v>
      </c>
      <c r="P29" s="1390">
        <v>0</v>
      </c>
      <c r="Q29" s="672"/>
      <c r="R29" s="1388">
        <v>0</v>
      </c>
      <c r="S29" s="1305" t="s">
        <v>814</v>
      </c>
    </row>
    <row r="30" spans="2:19" ht="12.75">
      <c r="B30" s="675" t="s">
        <v>423</v>
      </c>
      <c r="C30" s="470">
        <v>0</v>
      </c>
      <c r="D30" s="471">
        <v>0</v>
      </c>
      <c r="E30" s="471">
        <v>0</v>
      </c>
      <c r="F30" s="471">
        <v>0</v>
      </c>
      <c r="G30" s="472">
        <v>0</v>
      </c>
      <c r="H30" s="470">
        <v>0</v>
      </c>
      <c r="I30" s="473">
        <v>0.7</v>
      </c>
      <c r="J30" s="473">
        <v>0</v>
      </c>
      <c r="K30" s="473">
        <v>0</v>
      </c>
      <c r="L30" s="472">
        <v>0</v>
      </c>
      <c r="M30" s="672"/>
      <c r="N30" s="1388">
        <v>0</v>
      </c>
      <c r="O30" s="1389">
        <v>0</v>
      </c>
      <c r="P30" s="1390">
        <v>0</v>
      </c>
      <c r="Q30" s="672"/>
      <c r="R30" s="1388">
        <v>0.7</v>
      </c>
      <c r="S30" s="1305" t="s">
        <v>814</v>
      </c>
    </row>
    <row r="31" spans="2:19" ht="12.75">
      <c r="B31" s="675" t="s">
        <v>424</v>
      </c>
      <c r="C31" s="470">
        <v>0</v>
      </c>
      <c r="D31" s="471">
        <v>0</v>
      </c>
      <c r="E31" s="471">
        <v>0</v>
      </c>
      <c r="F31" s="471">
        <v>0</v>
      </c>
      <c r="G31" s="472">
        <v>0</v>
      </c>
      <c r="H31" s="470">
        <v>0</v>
      </c>
      <c r="I31" s="473">
        <v>0</v>
      </c>
      <c r="J31" s="473">
        <v>0</v>
      </c>
      <c r="K31" s="473">
        <v>0</v>
      </c>
      <c r="L31" s="472">
        <v>0</v>
      </c>
      <c r="M31" s="672"/>
      <c r="N31" s="1388">
        <v>0</v>
      </c>
      <c r="O31" s="1389">
        <v>0</v>
      </c>
      <c r="P31" s="1390">
        <v>0</v>
      </c>
      <c r="Q31" s="672"/>
      <c r="R31" s="1388">
        <v>0</v>
      </c>
      <c r="S31" s="1305" t="s">
        <v>814</v>
      </c>
    </row>
    <row r="32" spans="2:19" ht="13.5" thickBot="1">
      <c r="B32" s="573" t="s">
        <v>425</v>
      </c>
      <c r="C32" s="1314">
        <v>0</v>
      </c>
      <c r="D32" s="1317">
        <v>0</v>
      </c>
      <c r="E32" s="1317">
        <v>0</v>
      </c>
      <c r="F32" s="1317">
        <v>0</v>
      </c>
      <c r="G32" s="1316">
        <v>0</v>
      </c>
      <c r="H32" s="1314">
        <v>0</v>
      </c>
      <c r="I32" s="1315">
        <v>0.7</v>
      </c>
      <c r="J32" s="1315">
        <v>0</v>
      </c>
      <c r="K32" s="1315">
        <v>0</v>
      </c>
      <c r="L32" s="1316">
        <v>0</v>
      </c>
      <c r="M32" s="676"/>
      <c r="N32" s="1314">
        <v>0</v>
      </c>
      <c r="O32" s="1315">
        <v>0</v>
      </c>
      <c r="P32" s="1316">
        <v>0</v>
      </c>
      <c r="Q32" s="676"/>
      <c r="R32" s="1314">
        <v>0.7</v>
      </c>
      <c r="S32" s="1350" t="s">
        <v>814</v>
      </c>
    </row>
    <row r="33" spans="2:19" ht="12.75">
      <c r="B33" s="405"/>
      <c r="C33" s="405"/>
      <c r="D33" s="405"/>
      <c r="E33" s="405"/>
      <c r="F33" s="405"/>
      <c r="G33" s="405"/>
      <c r="H33" s="405"/>
      <c r="I33" s="405"/>
      <c r="J33" s="405"/>
      <c r="K33" s="405"/>
      <c r="L33" s="405"/>
      <c r="M33" s="409"/>
      <c r="N33" s="405"/>
      <c r="O33" s="405"/>
      <c r="P33" s="405"/>
      <c r="Q33" s="409"/>
      <c r="R33" s="405"/>
      <c r="S33" s="405"/>
    </row>
  </sheetData>
  <sheetProtection/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39"/>
  <sheetViews>
    <sheetView zoomScale="80" zoomScaleNormal="80" zoomScalePageLayoutView="0" workbookViewId="0" topLeftCell="A1">
      <selection activeCell="D10" sqref="D10:T144"/>
    </sheetView>
  </sheetViews>
  <sheetFormatPr defaultColWidth="8.8515625" defaultRowHeight="12.75"/>
  <cols>
    <col min="1" max="1" width="8.8515625" style="0" customWidth="1"/>
    <col min="2" max="2" width="16.421875" style="0" customWidth="1"/>
    <col min="3" max="3" width="37.8515625" style="0" bestFit="1" customWidth="1"/>
  </cols>
  <sheetData>
    <row r="1" spans="1:7" ht="12.75">
      <c r="A1" s="388" t="s">
        <v>499</v>
      </c>
      <c r="F1" s="390" t="s">
        <v>775</v>
      </c>
      <c r="G1" t="s">
        <v>500</v>
      </c>
    </row>
    <row r="2" ht="12.75">
      <c r="A2" s="388"/>
    </row>
    <row r="3" ht="12.75">
      <c r="A3" s="388" t="s">
        <v>501</v>
      </c>
    </row>
    <row r="5" spans="2:20" ht="19.5">
      <c r="B5" s="677" t="s">
        <v>642</v>
      </c>
      <c r="C5" s="678"/>
      <c r="D5" s="678"/>
      <c r="E5" s="678"/>
      <c r="F5" s="678"/>
      <c r="G5" s="678"/>
      <c r="H5" s="678"/>
      <c r="I5" s="678"/>
      <c r="J5" s="678"/>
      <c r="K5" s="678"/>
      <c r="L5" s="678"/>
      <c r="M5" s="678"/>
      <c r="N5" s="678"/>
      <c r="O5" s="409"/>
      <c r="P5" s="409"/>
      <c r="Q5" s="409"/>
      <c r="R5" s="409"/>
      <c r="S5" s="409"/>
      <c r="T5" s="409"/>
    </row>
    <row r="6" spans="2:20" ht="15" thickBot="1">
      <c r="B6" s="679"/>
      <c r="C6" s="679"/>
      <c r="D6" s="679"/>
      <c r="E6" s="679"/>
      <c r="F6" s="679"/>
      <c r="G6" s="679"/>
      <c r="H6" s="679"/>
      <c r="I6" s="679"/>
      <c r="J6" s="679"/>
      <c r="K6" s="679"/>
      <c r="L6" s="679"/>
      <c r="M6" s="679"/>
      <c r="N6" s="409"/>
      <c r="O6" s="680"/>
      <c r="P6" s="680"/>
      <c r="Q6" s="680"/>
      <c r="R6" s="409"/>
      <c r="S6" s="680"/>
      <c r="T6" s="680"/>
    </row>
    <row r="7" spans="2:20" ht="15">
      <c r="B7" s="681" t="s">
        <v>643</v>
      </c>
      <c r="C7" s="682"/>
      <c r="D7" s="683" t="s">
        <v>644</v>
      </c>
      <c r="E7" s="684"/>
      <c r="F7" s="684"/>
      <c r="G7" s="684"/>
      <c r="H7" s="685"/>
      <c r="I7" s="683" t="s">
        <v>645</v>
      </c>
      <c r="J7" s="684"/>
      <c r="K7" s="684"/>
      <c r="L7" s="684"/>
      <c r="M7" s="685"/>
      <c r="N7" s="409"/>
      <c r="O7" s="495" t="s">
        <v>646</v>
      </c>
      <c r="P7" s="496"/>
      <c r="Q7" s="497"/>
      <c r="R7" s="409"/>
      <c r="S7" s="495" t="s">
        <v>647</v>
      </c>
      <c r="T7" s="497"/>
    </row>
    <row r="8" spans="2:20" ht="25.5">
      <c r="B8" s="686"/>
      <c r="C8" s="687"/>
      <c r="D8" s="688" t="s">
        <v>561</v>
      </c>
      <c r="E8" s="689" t="s">
        <v>562</v>
      </c>
      <c r="F8" s="689" t="s">
        <v>558</v>
      </c>
      <c r="G8" s="689" t="s">
        <v>563</v>
      </c>
      <c r="H8" s="690" t="s">
        <v>564</v>
      </c>
      <c r="I8" s="688" t="s">
        <v>648</v>
      </c>
      <c r="J8" s="689" t="s">
        <v>667</v>
      </c>
      <c r="K8" s="689" t="s">
        <v>668</v>
      </c>
      <c r="L8" s="689" t="s">
        <v>669</v>
      </c>
      <c r="M8" s="690" t="s">
        <v>670</v>
      </c>
      <c r="N8" s="409"/>
      <c r="O8" s="504" t="s">
        <v>657</v>
      </c>
      <c r="P8" s="505" t="s">
        <v>658</v>
      </c>
      <c r="Q8" s="506" t="s">
        <v>810</v>
      </c>
      <c r="R8" s="409"/>
      <c r="S8" s="504" t="s">
        <v>658</v>
      </c>
      <c r="T8" s="506" t="s">
        <v>659</v>
      </c>
    </row>
    <row r="9" spans="2:20" ht="18">
      <c r="B9" s="691"/>
      <c r="C9" s="692"/>
      <c r="D9" s="688" t="s">
        <v>543</v>
      </c>
      <c r="E9" s="689" t="s">
        <v>543</v>
      </c>
      <c r="F9" s="689" t="s">
        <v>543</v>
      </c>
      <c r="G9" s="689" t="s">
        <v>543</v>
      </c>
      <c r="H9" s="690" t="s">
        <v>543</v>
      </c>
      <c r="I9" s="693" t="s">
        <v>543</v>
      </c>
      <c r="J9" s="689" t="s">
        <v>543</v>
      </c>
      <c r="K9" s="689" t="s">
        <v>543</v>
      </c>
      <c r="L9" s="689" t="s">
        <v>543</v>
      </c>
      <c r="M9" s="690" t="s">
        <v>543</v>
      </c>
      <c r="N9" s="679"/>
      <c r="O9" s="565"/>
      <c r="P9" s="566"/>
      <c r="Q9" s="567"/>
      <c r="R9" s="409"/>
      <c r="S9" s="514"/>
      <c r="T9" s="516"/>
    </row>
    <row r="10" spans="2:20" ht="14.25">
      <c r="B10" s="1496" t="s">
        <v>633</v>
      </c>
      <c r="C10" s="694" t="s">
        <v>634</v>
      </c>
      <c r="D10" s="695">
        <v>1</v>
      </c>
      <c r="E10" s="696">
        <v>0.9</v>
      </c>
      <c r="F10" s="696">
        <v>1.5</v>
      </c>
      <c r="G10" s="696">
        <v>0.9799806301728314</v>
      </c>
      <c r="H10" s="697">
        <v>0.4485690832677206</v>
      </c>
      <c r="I10" s="695">
        <v>0.82</v>
      </c>
      <c r="J10" s="696">
        <v>0.89</v>
      </c>
      <c r="K10" s="696">
        <v>1</v>
      </c>
      <c r="L10" s="696">
        <v>1</v>
      </c>
      <c r="M10" s="697">
        <v>1</v>
      </c>
      <c r="N10" s="679"/>
      <c r="O10" s="406">
        <v>3.4</v>
      </c>
      <c r="P10" s="407">
        <v>1.428549713440552</v>
      </c>
      <c r="Q10" s="408">
        <v>4.828549713440552</v>
      </c>
      <c r="R10" s="409"/>
      <c r="S10" s="406">
        <v>4.71</v>
      </c>
      <c r="T10" s="1305">
        <v>-0.024551826216174532</v>
      </c>
    </row>
    <row r="11" spans="2:20" ht="14.25">
      <c r="B11" s="1497"/>
      <c r="C11" s="698" t="s">
        <v>635</v>
      </c>
      <c r="D11" s="699">
        <v>0.5</v>
      </c>
      <c r="E11" s="700">
        <v>0.7</v>
      </c>
      <c r="F11" s="700">
        <v>0.6</v>
      </c>
      <c r="G11" s="700">
        <v>0.6794951164339398</v>
      </c>
      <c r="H11" s="701">
        <v>0.3990743796013071</v>
      </c>
      <c r="I11" s="699">
        <v>1.04</v>
      </c>
      <c r="J11" s="700">
        <v>1.18</v>
      </c>
      <c r="K11" s="700">
        <v>1.32</v>
      </c>
      <c r="L11" s="700">
        <v>1.47</v>
      </c>
      <c r="M11" s="701">
        <v>1.62</v>
      </c>
      <c r="N11" s="679"/>
      <c r="O11" s="406">
        <v>1.8</v>
      </c>
      <c r="P11" s="407">
        <v>1.078569496035247</v>
      </c>
      <c r="Q11" s="408">
        <v>2.878569496035247</v>
      </c>
      <c r="R11" s="409"/>
      <c r="S11" s="406">
        <v>6.63</v>
      </c>
      <c r="T11" s="1305">
        <v>1.3032273527290996</v>
      </c>
    </row>
    <row r="12" spans="2:20" ht="14.25">
      <c r="B12" s="1497" t="s">
        <v>636</v>
      </c>
      <c r="C12" s="698" t="s">
        <v>634</v>
      </c>
      <c r="D12" s="699">
        <v>0</v>
      </c>
      <c r="E12" s="700">
        <v>0</v>
      </c>
      <c r="F12" s="700">
        <v>0</v>
      </c>
      <c r="G12" s="700">
        <v>0.009422890674738763</v>
      </c>
      <c r="H12" s="701">
        <v>0.031592364042391595</v>
      </c>
      <c r="I12" s="699">
        <v>0</v>
      </c>
      <c r="J12" s="700">
        <v>0</v>
      </c>
      <c r="K12" s="700">
        <v>0</v>
      </c>
      <c r="L12" s="700">
        <v>0</v>
      </c>
      <c r="M12" s="701">
        <v>0</v>
      </c>
      <c r="N12" s="679"/>
      <c r="O12" s="406">
        <v>0</v>
      </c>
      <c r="P12" s="407">
        <v>0.041015254717130356</v>
      </c>
      <c r="Q12" s="408">
        <v>0.041015254717130356</v>
      </c>
      <c r="R12" s="409"/>
      <c r="S12" s="406">
        <v>0</v>
      </c>
      <c r="T12" s="1305">
        <v>-1</v>
      </c>
    </row>
    <row r="13" spans="2:20" ht="14.25">
      <c r="B13" s="1497"/>
      <c r="C13" s="698" t="s">
        <v>635</v>
      </c>
      <c r="D13" s="699">
        <v>0</v>
      </c>
      <c r="E13" s="700">
        <v>-0.10413095862701416</v>
      </c>
      <c r="F13" s="700">
        <v>-0.2</v>
      </c>
      <c r="G13" s="700">
        <v>-0.03405302036910486</v>
      </c>
      <c r="H13" s="701">
        <v>-0.05377069034065177</v>
      </c>
      <c r="I13" s="699">
        <v>-0.1</v>
      </c>
      <c r="J13" s="700">
        <v>-0.1</v>
      </c>
      <c r="K13" s="700">
        <v>-0.1</v>
      </c>
      <c r="L13" s="700">
        <v>-0.1</v>
      </c>
      <c r="M13" s="701">
        <v>-0.1</v>
      </c>
      <c r="N13" s="679"/>
      <c r="O13" s="406">
        <v>-0.3041309586270141</v>
      </c>
      <c r="P13" s="407">
        <v>-0.08782371070975663</v>
      </c>
      <c r="Q13" s="408">
        <v>-0.3919546693367707</v>
      </c>
      <c r="R13" s="409"/>
      <c r="S13" s="406">
        <v>-0.5</v>
      </c>
      <c r="T13" s="1305">
        <v>0.2756577204350023</v>
      </c>
    </row>
    <row r="14" spans="2:20" ht="14.25">
      <c r="B14" s="1493" t="s">
        <v>488</v>
      </c>
      <c r="C14" s="698" t="s">
        <v>660</v>
      </c>
      <c r="D14" s="699">
        <v>1.7</v>
      </c>
      <c r="E14" s="700">
        <v>1.7</v>
      </c>
      <c r="F14" s="700">
        <v>2</v>
      </c>
      <c r="G14" s="700">
        <v>1.457407091026262</v>
      </c>
      <c r="H14" s="701">
        <v>1.4107007325510907</v>
      </c>
      <c r="I14" s="699">
        <v>1.61</v>
      </c>
      <c r="J14" s="700">
        <v>1.76</v>
      </c>
      <c r="K14" s="700">
        <v>1.94</v>
      </c>
      <c r="L14" s="700">
        <v>1.94</v>
      </c>
      <c r="M14" s="701">
        <v>1.94</v>
      </c>
      <c r="N14" s="679"/>
      <c r="O14" s="406">
        <v>5.4</v>
      </c>
      <c r="P14" s="407">
        <v>2.8681078235773527</v>
      </c>
      <c r="Q14" s="408">
        <v>8.268107823577353</v>
      </c>
      <c r="R14" s="409"/>
      <c r="S14" s="406">
        <v>9.19</v>
      </c>
      <c r="T14" s="1305">
        <v>0.11149977674381281</v>
      </c>
    </row>
    <row r="15" spans="2:20" ht="14.25">
      <c r="B15" s="1493"/>
      <c r="C15" s="698" t="s">
        <v>661</v>
      </c>
      <c r="D15" s="699">
        <v>0.2</v>
      </c>
      <c r="E15" s="700">
        <v>0.2</v>
      </c>
      <c r="F15" s="700">
        <v>0.3</v>
      </c>
      <c r="G15" s="700">
        <v>0.18008191067278526</v>
      </c>
      <c r="H15" s="701">
        <v>0.22106157602826107</v>
      </c>
      <c r="I15" s="699">
        <v>0.58</v>
      </c>
      <c r="J15" s="700">
        <v>0.67</v>
      </c>
      <c r="K15" s="700">
        <v>0.75</v>
      </c>
      <c r="L15" s="700">
        <v>0.83</v>
      </c>
      <c r="M15" s="701">
        <v>0.93</v>
      </c>
      <c r="N15" s="679"/>
      <c r="O15" s="406">
        <v>0.7</v>
      </c>
      <c r="P15" s="407">
        <v>0.4011434867010463</v>
      </c>
      <c r="Q15" s="408">
        <v>1.1011434867010463</v>
      </c>
      <c r="R15" s="409"/>
      <c r="S15" s="406">
        <v>3.76</v>
      </c>
      <c r="T15" s="1305">
        <v>2.4146321940882687</v>
      </c>
    </row>
    <row r="16" spans="2:20" ht="14.25">
      <c r="B16" s="1493"/>
      <c r="C16" s="702" t="s">
        <v>788</v>
      </c>
      <c r="D16" s="699">
        <v>0.2</v>
      </c>
      <c r="E16" s="700">
        <v>0.1</v>
      </c>
      <c r="F16" s="700">
        <v>0.1</v>
      </c>
      <c r="G16" s="700">
        <v>0.26593491459818286</v>
      </c>
      <c r="H16" s="701">
        <v>0.30855208881402457</v>
      </c>
      <c r="I16" s="699">
        <v>0.47</v>
      </c>
      <c r="J16" s="700">
        <v>0.51</v>
      </c>
      <c r="K16" s="700">
        <v>0.56</v>
      </c>
      <c r="L16" s="700">
        <v>0.61</v>
      </c>
      <c r="M16" s="701">
        <v>0.66</v>
      </c>
      <c r="N16" s="679"/>
      <c r="O16" s="406">
        <v>0.4</v>
      </c>
      <c r="P16" s="407">
        <v>0.5744870034122074</v>
      </c>
      <c r="Q16" s="408">
        <v>0.9744870034122075</v>
      </c>
      <c r="R16" s="409"/>
      <c r="S16" s="406">
        <v>2.81</v>
      </c>
      <c r="T16" s="1305">
        <v>1.883568472602165</v>
      </c>
    </row>
    <row r="17" spans="2:20" ht="14.25">
      <c r="B17" s="1493" t="s">
        <v>803</v>
      </c>
      <c r="C17" s="698" t="s">
        <v>789</v>
      </c>
      <c r="D17" s="699">
        <v>1.9</v>
      </c>
      <c r="E17" s="700">
        <v>5.2</v>
      </c>
      <c r="F17" s="700">
        <v>5</v>
      </c>
      <c r="G17" s="700">
        <v>3.424697266341166</v>
      </c>
      <c r="H17" s="701">
        <v>3.2169433076456775</v>
      </c>
      <c r="I17" s="699">
        <v>5.15</v>
      </c>
      <c r="J17" s="700">
        <v>7.1</v>
      </c>
      <c r="K17" s="700">
        <v>9.07</v>
      </c>
      <c r="L17" s="700">
        <v>9.07</v>
      </c>
      <c r="M17" s="701">
        <v>9.07</v>
      </c>
      <c r="N17" s="679"/>
      <c r="O17" s="406">
        <v>12.1</v>
      </c>
      <c r="P17" s="407">
        <v>6.641640573986844</v>
      </c>
      <c r="Q17" s="408">
        <v>18.741640573986842</v>
      </c>
      <c r="R17" s="409"/>
      <c r="S17" s="406">
        <v>39.46</v>
      </c>
      <c r="T17" s="1305">
        <v>1.1054720286744788</v>
      </c>
    </row>
    <row r="18" spans="2:20" ht="14.25">
      <c r="B18" s="1493"/>
      <c r="C18" s="698" t="s">
        <v>520</v>
      </c>
      <c r="D18" s="699">
        <v>0.2</v>
      </c>
      <c r="E18" s="700">
        <v>0.6</v>
      </c>
      <c r="F18" s="700">
        <v>1.1</v>
      </c>
      <c r="G18" s="700">
        <v>0.4313589953324856</v>
      </c>
      <c r="H18" s="701">
        <v>0.2474735183320675</v>
      </c>
      <c r="I18" s="699">
        <v>0.43</v>
      </c>
      <c r="J18" s="700">
        <v>0.48</v>
      </c>
      <c r="K18" s="700">
        <v>0.55</v>
      </c>
      <c r="L18" s="700">
        <v>0.61</v>
      </c>
      <c r="M18" s="701">
        <v>0.69</v>
      </c>
      <c r="N18" s="679"/>
      <c r="O18" s="406">
        <v>1.9</v>
      </c>
      <c r="P18" s="407">
        <v>0.6788325136645531</v>
      </c>
      <c r="Q18" s="408">
        <v>2.578832513664553</v>
      </c>
      <c r="R18" s="409"/>
      <c r="S18" s="406">
        <v>2.76</v>
      </c>
      <c r="T18" s="1305">
        <v>0.07025174584835897</v>
      </c>
    </row>
    <row r="19" spans="2:20" ht="14.25">
      <c r="B19" s="1493"/>
      <c r="C19" s="702" t="s">
        <v>650</v>
      </c>
      <c r="D19" s="699">
        <v>0</v>
      </c>
      <c r="E19" s="700">
        <v>0</v>
      </c>
      <c r="F19" s="700">
        <v>0</v>
      </c>
      <c r="G19" s="700">
        <v>0</v>
      </c>
      <c r="H19" s="701">
        <v>0</v>
      </c>
      <c r="I19" s="699">
        <v>0.05</v>
      </c>
      <c r="J19" s="700">
        <v>0.05</v>
      </c>
      <c r="K19" s="700">
        <v>0.05</v>
      </c>
      <c r="L19" s="700">
        <v>0.05</v>
      </c>
      <c r="M19" s="701">
        <v>0.05</v>
      </c>
      <c r="N19" s="679"/>
      <c r="O19" s="406">
        <v>0</v>
      </c>
      <c r="P19" s="407">
        <v>0</v>
      </c>
      <c r="Q19" s="408">
        <v>0</v>
      </c>
      <c r="R19" s="409"/>
      <c r="S19" s="406">
        <v>0.25</v>
      </c>
      <c r="T19" s="1305" t="s">
        <v>814</v>
      </c>
    </row>
    <row r="20" spans="2:20" ht="14.25">
      <c r="B20" s="1493"/>
      <c r="C20" s="702" t="s">
        <v>788</v>
      </c>
      <c r="D20" s="699">
        <v>0.9</v>
      </c>
      <c r="E20" s="700">
        <v>1.1</v>
      </c>
      <c r="F20" s="700">
        <v>2.6</v>
      </c>
      <c r="G20" s="700">
        <v>1.9861359566643817</v>
      </c>
      <c r="H20" s="701">
        <v>2.53160143859698</v>
      </c>
      <c r="I20" s="699">
        <v>1.81</v>
      </c>
      <c r="J20" s="700">
        <v>1.88</v>
      </c>
      <c r="K20" s="700">
        <v>1.94</v>
      </c>
      <c r="L20" s="700">
        <v>1.99</v>
      </c>
      <c r="M20" s="701">
        <v>2.04</v>
      </c>
      <c r="N20" s="679"/>
      <c r="O20" s="406">
        <v>4.6</v>
      </c>
      <c r="P20" s="407">
        <v>4.517737395261362</v>
      </c>
      <c r="Q20" s="408">
        <v>9.117737395261361</v>
      </c>
      <c r="R20" s="409"/>
      <c r="S20" s="406">
        <v>9.66</v>
      </c>
      <c r="T20" s="1305">
        <v>0.059473373846066414</v>
      </c>
    </row>
    <row r="21" spans="2:20" ht="14.25">
      <c r="B21" s="1493"/>
      <c r="C21" s="698" t="s">
        <v>509</v>
      </c>
      <c r="D21" s="699">
        <v>0.1</v>
      </c>
      <c r="E21" s="700">
        <v>0.8</v>
      </c>
      <c r="F21" s="700">
        <v>0.8</v>
      </c>
      <c r="G21" s="700">
        <v>0.4847553758226719</v>
      </c>
      <c r="H21" s="701">
        <v>0.9151254784279432</v>
      </c>
      <c r="I21" s="699">
        <v>1.76</v>
      </c>
      <c r="J21" s="700">
        <v>1.85</v>
      </c>
      <c r="K21" s="700">
        <v>1.93</v>
      </c>
      <c r="L21" s="700">
        <v>2.01</v>
      </c>
      <c r="M21" s="701">
        <v>2.08</v>
      </c>
      <c r="N21" s="679"/>
      <c r="O21" s="406">
        <v>1.7</v>
      </c>
      <c r="P21" s="407">
        <v>1.3998808542506151</v>
      </c>
      <c r="Q21" s="408">
        <v>3.099880854250615</v>
      </c>
      <c r="R21" s="409"/>
      <c r="S21" s="406">
        <v>9.63</v>
      </c>
      <c r="T21" s="1305">
        <v>2.1065710112035956</v>
      </c>
    </row>
    <row r="22" spans="2:20" ht="14.25">
      <c r="B22" s="1493"/>
      <c r="C22" s="698" t="s">
        <v>510</v>
      </c>
      <c r="D22" s="699">
        <v>0.6</v>
      </c>
      <c r="E22" s="700">
        <v>1</v>
      </c>
      <c r="F22" s="700">
        <v>0.8</v>
      </c>
      <c r="G22" s="700">
        <v>0.6470384929987284</v>
      </c>
      <c r="H22" s="701">
        <v>0.48757548505424364</v>
      </c>
      <c r="I22" s="699">
        <v>0.7</v>
      </c>
      <c r="J22" s="700">
        <v>0.7</v>
      </c>
      <c r="K22" s="700">
        <v>0.7</v>
      </c>
      <c r="L22" s="700">
        <v>0.7</v>
      </c>
      <c r="M22" s="701">
        <v>0.7</v>
      </c>
      <c r="N22" s="679"/>
      <c r="O22" s="406">
        <v>2.4</v>
      </c>
      <c r="P22" s="407">
        <v>1.134613978052972</v>
      </c>
      <c r="Q22" s="408">
        <v>3.534613978052972</v>
      </c>
      <c r="R22" s="409"/>
      <c r="S22" s="406">
        <v>3.5</v>
      </c>
      <c r="T22" s="1305">
        <v>-0.009792859494104966</v>
      </c>
    </row>
    <row r="23" spans="2:20" ht="14.25">
      <c r="B23" s="1493" t="s">
        <v>809</v>
      </c>
      <c r="C23" s="698" t="s">
        <v>789</v>
      </c>
      <c r="D23" s="699">
        <v>0.3</v>
      </c>
      <c r="E23" s="700">
        <v>0.4</v>
      </c>
      <c r="F23" s="700">
        <v>0.9</v>
      </c>
      <c r="G23" s="700">
        <v>2.077223899853523</v>
      </c>
      <c r="H23" s="701">
        <v>1.208934464022185</v>
      </c>
      <c r="I23" s="699">
        <v>0.66</v>
      </c>
      <c r="J23" s="700">
        <v>1.08</v>
      </c>
      <c r="K23" s="700">
        <v>1.51</v>
      </c>
      <c r="L23" s="700">
        <v>1.51</v>
      </c>
      <c r="M23" s="701">
        <v>1.52</v>
      </c>
      <c r="N23" s="679"/>
      <c r="O23" s="406">
        <v>1.6</v>
      </c>
      <c r="P23" s="407">
        <v>3.2861583638757077</v>
      </c>
      <c r="Q23" s="408">
        <v>4.886158363875708</v>
      </c>
      <c r="R23" s="409"/>
      <c r="S23" s="406">
        <v>6.28</v>
      </c>
      <c r="T23" s="1305">
        <v>0.2852632952769659</v>
      </c>
    </row>
    <row r="24" spans="2:20" ht="14.25">
      <c r="B24" s="1493"/>
      <c r="C24" s="698" t="s">
        <v>520</v>
      </c>
      <c r="D24" s="699">
        <v>0.8</v>
      </c>
      <c r="E24" s="700">
        <v>0.9</v>
      </c>
      <c r="F24" s="700">
        <v>0</v>
      </c>
      <c r="G24" s="700">
        <v>0.04711445337369381</v>
      </c>
      <c r="H24" s="701">
        <v>0.10846711654554447</v>
      </c>
      <c r="I24" s="699">
        <v>0.14</v>
      </c>
      <c r="J24" s="700">
        <v>0.17</v>
      </c>
      <c r="K24" s="700">
        <v>0.2</v>
      </c>
      <c r="L24" s="700">
        <v>0.23</v>
      </c>
      <c r="M24" s="701">
        <v>0.26</v>
      </c>
      <c r="N24" s="679"/>
      <c r="O24" s="406">
        <v>1.7</v>
      </c>
      <c r="P24" s="407">
        <v>0.15558156991923827</v>
      </c>
      <c r="Q24" s="408">
        <v>1.8555815699192384</v>
      </c>
      <c r="R24" s="409"/>
      <c r="S24" s="406">
        <v>1</v>
      </c>
      <c r="T24" s="1305">
        <v>-0.4610853997415357</v>
      </c>
    </row>
    <row r="25" spans="2:20" ht="14.25">
      <c r="B25" s="1493"/>
      <c r="C25" s="698" t="s">
        <v>650</v>
      </c>
      <c r="D25" s="699">
        <v>0</v>
      </c>
      <c r="E25" s="700">
        <v>0</v>
      </c>
      <c r="F25" s="700">
        <v>0</v>
      </c>
      <c r="G25" s="700">
        <v>0</v>
      </c>
      <c r="H25" s="701">
        <v>0</v>
      </c>
      <c r="I25" s="699">
        <v>0.1</v>
      </c>
      <c r="J25" s="700">
        <v>0.1</v>
      </c>
      <c r="K25" s="700">
        <v>0.1</v>
      </c>
      <c r="L25" s="700">
        <v>0.1</v>
      </c>
      <c r="M25" s="701">
        <v>0.1</v>
      </c>
      <c r="N25" s="679"/>
      <c r="O25" s="406">
        <v>0</v>
      </c>
      <c r="P25" s="407">
        <v>0</v>
      </c>
      <c r="Q25" s="408">
        <v>0</v>
      </c>
      <c r="R25" s="409"/>
      <c r="S25" s="406">
        <v>0.5</v>
      </c>
      <c r="T25" s="1305" t="s">
        <v>814</v>
      </c>
    </row>
    <row r="26" spans="2:20" ht="14.25">
      <c r="B26" s="1493"/>
      <c r="C26" s="698" t="s">
        <v>788</v>
      </c>
      <c r="D26" s="699">
        <v>0.5</v>
      </c>
      <c r="E26" s="700">
        <v>1.3</v>
      </c>
      <c r="F26" s="700">
        <v>1.9</v>
      </c>
      <c r="G26" s="700">
        <v>1.0752565247729677</v>
      </c>
      <c r="H26" s="701">
        <v>1.5185396316376227</v>
      </c>
      <c r="I26" s="699">
        <v>0.65</v>
      </c>
      <c r="J26" s="700">
        <v>0.66</v>
      </c>
      <c r="K26" s="700">
        <v>0.67</v>
      </c>
      <c r="L26" s="700">
        <v>0.67</v>
      </c>
      <c r="M26" s="701">
        <v>0.67</v>
      </c>
      <c r="N26" s="679"/>
      <c r="O26" s="406">
        <v>3.7</v>
      </c>
      <c r="P26" s="407">
        <v>2.5937961564105905</v>
      </c>
      <c r="Q26" s="408">
        <v>6.293796156410591</v>
      </c>
      <c r="R26" s="409"/>
      <c r="S26" s="406">
        <v>3.32</v>
      </c>
      <c r="T26" s="1305">
        <v>-0.47249642068270825</v>
      </c>
    </row>
    <row r="27" spans="2:20" ht="14.25">
      <c r="B27" s="1493"/>
      <c r="C27" s="698" t="s">
        <v>509</v>
      </c>
      <c r="D27" s="699">
        <v>0.1</v>
      </c>
      <c r="E27" s="700">
        <v>0.3</v>
      </c>
      <c r="F27" s="700">
        <v>1</v>
      </c>
      <c r="G27" s="700">
        <v>0.6219107845327584</v>
      </c>
      <c r="H27" s="701">
        <v>0.3612060288846773</v>
      </c>
      <c r="I27" s="699">
        <v>1.46</v>
      </c>
      <c r="J27" s="700">
        <v>1.52</v>
      </c>
      <c r="K27" s="700">
        <v>1.59</v>
      </c>
      <c r="L27" s="700">
        <v>1.7</v>
      </c>
      <c r="M27" s="701">
        <v>1.76</v>
      </c>
      <c r="N27" s="679"/>
      <c r="O27" s="406">
        <v>1.4</v>
      </c>
      <c r="P27" s="407">
        <v>0.9831168134174357</v>
      </c>
      <c r="Q27" s="408">
        <v>2.383116813417436</v>
      </c>
      <c r="R27" s="409"/>
      <c r="S27" s="406">
        <v>8.03</v>
      </c>
      <c r="T27" s="1305">
        <v>2.369536883290595</v>
      </c>
    </row>
    <row r="28" spans="2:20" ht="14.25">
      <c r="B28" s="1493"/>
      <c r="C28" s="703" t="s">
        <v>510</v>
      </c>
      <c r="D28" s="699">
        <v>0.4</v>
      </c>
      <c r="E28" s="700">
        <v>0.1</v>
      </c>
      <c r="F28" s="700">
        <v>0.3</v>
      </c>
      <c r="G28" s="700">
        <v>0.1382023965628352</v>
      </c>
      <c r="H28" s="701">
        <v>0.21272191788543676</v>
      </c>
      <c r="I28" s="699">
        <v>0.48</v>
      </c>
      <c r="J28" s="700">
        <v>0.48</v>
      </c>
      <c r="K28" s="700">
        <v>0.48</v>
      </c>
      <c r="L28" s="700">
        <v>0.48</v>
      </c>
      <c r="M28" s="701">
        <v>0.48</v>
      </c>
      <c r="N28" s="679"/>
      <c r="O28" s="406">
        <v>0.8</v>
      </c>
      <c r="P28" s="407">
        <v>0.350924314448272</v>
      </c>
      <c r="Q28" s="408">
        <v>1.150924314448272</v>
      </c>
      <c r="R28" s="409"/>
      <c r="S28" s="406">
        <v>2.4</v>
      </c>
      <c r="T28" s="1305">
        <v>1.0852804740253557</v>
      </c>
    </row>
    <row r="29" spans="2:20" ht="14.25">
      <c r="B29" s="1493" t="s">
        <v>807</v>
      </c>
      <c r="C29" s="704" t="s">
        <v>789</v>
      </c>
      <c r="D29" s="699">
        <v>0.5</v>
      </c>
      <c r="E29" s="700">
        <v>1.3</v>
      </c>
      <c r="F29" s="700">
        <v>1.1</v>
      </c>
      <c r="G29" s="700">
        <v>0.8857517234254437</v>
      </c>
      <c r="H29" s="701">
        <v>0.3338259800479379</v>
      </c>
      <c r="I29" s="699">
        <v>0.6</v>
      </c>
      <c r="J29" s="700">
        <v>0.77</v>
      </c>
      <c r="K29" s="700">
        <v>0.96</v>
      </c>
      <c r="L29" s="700">
        <v>0.98</v>
      </c>
      <c r="M29" s="701">
        <v>1</v>
      </c>
      <c r="N29" s="679"/>
      <c r="O29" s="406">
        <v>2.9</v>
      </c>
      <c r="P29" s="407">
        <v>1.2195777034733817</v>
      </c>
      <c r="Q29" s="408">
        <v>4.119577703473382</v>
      </c>
      <c r="R29" s="409"/>
      <c r="S29" s="406">
        <v>4.31</v>
      </c>
      <c r="T29" s="1305">
        <v>0.046223741905891354</v>
      </c>
    </row>
    <row r="30" spans="2:20" ht="14.25">
      <c r="B30" s="1493"/>
      <c r="C30" s="698" t="s">
        <v>520</v>
      </c>
      <c r="D30" s="699">
        <v>0</v>
      </c>
      <c r="E30" s="700">
        <v>0</v>
      </c>
      <c r="F30" s="700">
        <v>0.4</v>
      </c>
      <c r="G30" s="700">
        <v>0.13087348159359394</v>
      </c>
      <c r="H30" s="701">
        <v>0.1621741354176102</v>
      </c>
      <c r="I30" s="699">
        <v>0.36</v>
      </c>
      <c r="J30" s="700">
        <v>0.48</v>
      </c>
      <c r="K30" s="700">
        <v>0.6</v>
      </c>
      <c r="L30" s="700">
        <v>0.6</v>
      </c>
      <c r="M30" s="701">
        <v>0.71</v>
      </c>
      <c r="N30" s="679"/>
      <c r="O30" s="406">
        <v>0.4</v>
      </c>
      <c r="P30" s="407">
        <v>0.29304761701120413</v>
      </c>
      <c r="Q30" s="408">
        <v>0.6930476170112041</v>
      </c>
      <c r="R30" s="409"/>
      <c r="S30" s="406">
        <v>2.75</v>
      </c>
      <c r="T30" s="1305">
        <v>2.9679813226391087</v>
      </c>
    </row>
    <row r="31" spans="2:20" ht="14.25">
      <c r="B31" s="1493"/>
      <c r="C31" s="703" t="s">
        <v>521</v>
      </c>
      <c r="D31" s="699">
        <v>0</v>
      </c>
      <c r="E31" s="700">
        <v>0</v>
      </c>
      <c r="F31" s="700">
        <v>0</v>
      </c>
      <c r="G31" s="700">
        <v>0</v>
      </c>
      <c r="H31" s="701">
        <v>0</v>
      </c>
      <c r="I31" s="699">
        <v>0</v>
      </c>
      <c r="J31" s="700">
        <v>0</v>
      </c>
      <c r="K31" s="700">
        <v>0</v>
      </c>
      <c r="L31" s="700">
        <v>0</v>
      </c>
      <c r="M31" s="701">
        <v>0</v>
      </c>
      <c r="N31" s="679"/>
      <c r="O31" s="406">
        <v>0</v>
      </c>
      <c r="P31" s="407">
        <v>0</v>
      </c>
      <c r="Q31" s="408">
        <v>0</v>
      </c>
      <c r="R31" s="409"/>
      <c r="S31" s="406">
        <v>0</v>
      </c>
      <c r="T31" s="1305" t="s">
        <v>814</v>
      </c>
    </row>
    <row r="32" spans="2:20" ht="14.25">
      <c r="B32" s="1493"/>
      <c r="C32" s="703" t="s">
        <v>788</v>
      </c>
      <c r="D32" s="699">
        <v>1</v>
      </c>
      <c r="E32" s="700">
        <v>1.8</v>
      </c>
      <c r="F32" s="700">
        <v>0.1</v>
      </c>
      <c r="G32" s="700">
        <v>0.5569975376623358</v>
      </c>
      <c r="H32" s="701">
        <v>0.13584716538228386</v>
      </c>
      <c r="I32" s="699">
        <v>0.16</v>
      </c>
      <c r="J32" s="700">
        <v>0.17</v>
      </c>
      <c r="K32" s="700">
        <v>0.18</v>
      </c>
      <c r="L32" s="700">
        <v>0.2</v>
      </c>
      <c r="M32" s="701">
        <v>0.21</v>
      </c>
      <c r="N32" s="679"/>
      <c r="O32" s="406">
        <v>2.9</v>
      </c>
      <c r="P32" s="407">
        <v>0.6928447030446196</v>
      </c>
      <c r="Q32" s="408">
        <v>3.59284470304462</v>
      </c>
      <c r="R32" s="409"/>
      <c r="S32" s="406">
        <v>0.92</v>
      </c>
      <c r="T32" s="1305">
        <v>-0.7439354951188453</v>
      </c>
    </row>
    <row r="33" spans="2:20" ht="14.25">
      <c r="B33" s="1493"/>
      <c r="C33" s="703" t="s">
        <v>509</v>
      </c>
      <c r="D33" s="699">
        <v>0.1</v>
      </c>
      <c r="E33" s="700">
        <v>0.6</v>
      </c>
      <c r="F33" s="700">
        <v>0.8</v>
      </c>
      <c r="G33" s="700">
        <v>1.0417529134850076</v>
      </c>
      <c r="H33" s="701">
        <v>0</v>
      </c>
      <c r="I33" s="699">
        <v>2.29</v>
      </c>
      <c r="J33" s="700">
        <v>2.29</v>
      </c>
      <c r="K33" s="700">
        <v>2.29</v>
      </c>
      <c r="L33" s="700">
        <v>2.14</v>
      </c>
      <c r="M33" s="701">
        <v>2.14</v>
      </c>
      <c r="N33" s="679"/>
      <c r="O33" s="406">
        <v>1.5</v>
      </c>
      <c r="P33" s="407">
        <v>1.0417529134850076</v>
      </c>
      <c r="Q33" s="408">
        <v>2.5417529134850074</v>
      </c>
      <c r="R33" s="409"/>
      <c r="S33" s="406">
        <v>11.15</v>
      </c>
      <c r="T33" s="1305">
        <v>3.3867363900105425</v>
      </c>
    </row>
    <row r="34" spans="2:20" ht="14.25">
      <c r="B34" s="1493"/>
      <c r="C34" s="703" t="s">
        <v>510</v>
      </c>
      <c r="D34" s="699">
        <v>0.2</v>
      </c>
      <c r="E34" s="700">
        <v>0.2</v>
      </c>
      <c r="F34" s="700">
        <v>0.9</v>
      </c>
      <c r="G34" s="700">
        <v>0.23661925472121784</v>
      </c>
      <c r="H34" s="701">
        <v>0.1937664994600018</v>
      </c>
      <c r="I34" s="699">
        <v>0.21</v>
      </c>
      <c r="J34" s="700">
        <v>0.21</v>
      </c>
      <c r="K34" s="700">
        <v>0.21</v>
      </c>
      <c r="L34" s="700">
        <v>0.21</v>
      </c>
      <c r="M34" s="701">
        <v>0.21</v>
      </c>
      <c r="N34" s="679"/>
      <c r="O34" s="406">
        <v>1.3</v>
      </c>
      <c r="P34" s="407">
        <v>0.4303857541812196</v>
      </c>
      <c r="Q34" s="408">
        <v>1.7303857541812198</v>
      </c>
      <c r="R34" s="409"/>
      <c r="S34" s="406">
        <v>1.05</v>
      </c>
      <c r="T34" s="1305">
        <v>-0.39319888789951535</v>
      </c>
    </row>
    <row r="35" spans="2:20" ht="15.75" thickBot="1">
      <c r="B35" s="705" t="s">
        <v>522</v>
      </c>
      <c r="C35" s="706"/>
      <c r="D35" s="707">
        <v>11.2</v>
      </c>
      <c r="E35" s="708">
        <v>19.09586904137299</v>
      </c>
      <c r="F35" s="708">
        <v>22</v>
      </c>
      <c r="G35" s="708">
        <v>17.32395859035245</v>
      </c>
      <c r="H35" s="709">
        <v>14.399981701304355</v>
      </c>
      <c r="I35" s="707">
        <v>21.43</v>
      </c>
      <c r="J35" s="708">
        <v>24.9</v>
      </c>
      <c r="K35" s="708">
        <v>28.5</v>
      </c>
      <c r="L35" s="708">
        <v>29</v>
      </c>
      <c r="M35" s="709">
        <v>29.74</v>
      </c>
      <c r="N35" s="679"/>
      <c r="O35" s="410">
        <v>52.29586904137299</v>
      </c>
      <c r="P35" s="411">
        <v>31.723940291656806</v>
      </c>
      <c r="Q35" s="412">
        <v>84.0198093330298</v>
      </c>
      <c r="R35" s="409"/>
      <c r="S35" s="410">
        <v>133.57</v>
      </c>
      <c r="T35" s="1318">
        <v>0.58974414558081</v>
      </c>
    </row>
    <row r="36" spans="2:20" ht="15">
      <c r="B36" s="710"/>
      <c r="C36" s="710"/>
      <c r="D36" s="711"/>
      <c r="E36" s="711"/>
      <c r="F36" s="711"/>
      <c r="G36" s="711"/>
      <c r="H36" s="711"/>
      <c r="I36" s="711"/>
      <c r="J36" s="711"/>
      <c r="K36" s="711"/>
      <c r="L36" s="711"/>
      <c r="M36" s="711"/>
      <c r="N36" s="679"/>
      <c r="O36" s="679"/>
      <c r="P36" s="679"/>
      <c r="Q36" s="679"/>
      <c r="R36" s="712"/>
      <c r="S36" s="712"/>
      <c r="T36" s="712"/>
    </row>
    <row r="37" spans="2:20" ht="14.25">
      <c r="B37" s="679"/>
      <c r="C37" s="679"/>
      <c r="D37" s="679"/>
      <c r="E37" s="679"/>
      <c r="F37" s="679"/>
      <c r="G37" s="679"/>
      <c r="H37" s="679"/>
      <c r="I37" s="679"/>
      <c r="J37" s="679"/>
      <c r="K37" s="679"/>
      <c r="L37" s="679"/>
      <c r="M37" s="679"/>
      <c r="N37" s="679"/>
      <c r="O37" s="679"/>
      <c r="P37" s="679"/>
      <c r="Q37" s="679"/>
      <c r="R37" s="712"/>
      <c r="S37" s="712"/>
      <c r="T37" s="712"/>
    </row>
    <row r="38" spans="2:20" ht="15">
      <c r="B38" s="677" t="s">
        <v>528</v>
      </c>
      <c r="C38" s="679"/>
      <c r="D38" s="679"/>
      <c r="E38" s="679"/>
      <c r="F38" s="679"/>
      <c r="G38" s="679"/>
      <c r="H38" s="679"/>
      <c r="I38" s="679"/>
      <c r="J38" s="679"/>
      <c r="K38" s="679"/>
      <c r="L38" s="679"/>
      <c r="M38" s="679"/>
      <c r="N38" s="712"/>
      <c r="O38" s="679"/>
      <c r="P38" s="679"/>
      <c r="Q38" s="679"/>
      <c r="R38" s="712"/>
      <c r="S38" s="712"/>
      <c r="T38" s="712"/>
    </row>
    <row r="39" spans="2:20" ht="15" thickBot="1">
      <c r="B39" s="679"/>
      <c r="C39" s="679"/>
      <c r="D39" s="679"/>
      <c r="E39" s="679"/>
      <c r="F39" s="679"/>
      <c r="G39" s="679"/>
      <c r="H39" s="679"/>
      <c r="I39" s="679"/>
      <c r="J39" s="679"/>
      <c r="K39" s="679"/>
      <c r="L39" s="679"/>
      <c r="M39" s="679"/>
      <c r="N39" s="409"/>
      <c r="O39" s="679"/>
      <c r="P39" s="679"/>
      <c r="Q39" s="679"/>
      <c r="R39" s="712"/>
      <c r="S39" s="712"/>
      <c r="T39" s="712"/>
    </row>
    <row r="40" spans="2:20" ht="15">
      <c r="B40" s="681" t="s">
        <v>643</v>
      </c>
      <c r="C40" s="682"/>
      <c r="D40" s="684" t="s">
        <v>644</v>
      </c>
      <c r="E40" s="684"/>
      <c r="F40" s="684"/>
      <c r="G40" s="684"/>
      <c r="H40" s="685"/>
      <c r="I40" s="683" t="s">
        <v>645</v>
      </c>
      <c r="J40" s="684"/>
      <c r="K40" s="684"/>
      <c r="L40" s="684"/>
      <c r="M40" s="685"/>
      <c r="N40" s="409"/>
      <c r="O40" s="1343" t="s">
        <v>646</v>
      </c>
      <c r="P40" s="1344"/>
      <c r="Q40" s="1345"/>
      <c r="R40" s="409"/>
      <c r="S40" s="1343" t="s">
        <v>647</v>
      </c>
      <c r="T40" s="1345"/>
    </row>
    <row r="41" spans="2:20" ht="25.5">
      <c r="B41" s="686"/>
      <c r="C41" s="687"/>
      <c r="D41" s="693" t="s">
        <v>561</v>
      </c>
      <c r="E41" s="689" t="s">
        <v>562</v>
      </c>
      <c r="F41" s="689" t="s">
        <v>558</v>
      </c>
      <c r="G41" s="689" t="s">
        <v>563</v>
      </c>
      <c r="H41" s="690" t="s">
        <v>564</v>
      </c>
      <c r="I41" s="688" t="s">
        <v>648</v>
      </c>
      <c r="J41" s="689" t="s">
        <v>667</v>
      </c>
      <c r="K41" s="689" t="s">
        <v>668</v>
      </c>
      <c r="L41" s="689" t="s">
        <v>669</v>
      </c>
      <c r="M41" s="690" t="s">
        <v>670</v>
      </c>
      <c r="N41" s="409"/>
      <c r="O41" s="1346" t="s">
        <v>657</v>
      </c>
      <c r="P41" s="1347" t="s">
        <v>658</v>
      </c>
      <c r="Q41" s="1348" t="s">
        <v>810</v>
      </c>
      <c r="R41" s="409"/>
      <c r="S41" s="1346" t="s">
        <v>658</v>
      </c>
      <c r="T41" s="1348" t="s">
        <v>659</v>
      </c>
    </row>
    <row r="42" spans="2:20" ht="18">
      <c r="B42" s="691"/>
      <c r="C42" s="692"/>
      <c r="D42" s="693" t="s">
        <v>543</v>
      </c>
      <c r="E42" s="689" t="s">
        <v>543</v>
      </c>
      <c r="F42" s="689" t="s">
        <v>543</v>
      </c>
      <c r="G42" s="689" t="s">
        <v>543</v>
      </c>
      <c r="H42" s="690" t="s">
        <v>543</v>
      </c>
      <c r="I42" s="693" t="s">
        <v>543</v>
      </c>
      <c r="J42" s="689" t="s">
        <v>543</v>
      </c>
      <c r="K42" s="689" t="s">
        <v>543</v>
      </c>
      <c r="L42" s="689" t="s">
        <v>543</v>
      </c>
      <c r="M42" s="690" t="s">
        <v>543</v>
      </c>
      <c r="N42" s="679"/>
      <c r="O42" s="565"/>
      <c r="P42" s="566"/>
      <c r="Q42" s="567"/>
      <c r="R42" s="409"/>
      <c r="S42" s="514"/>
      <c r="T42" s="516"/>
    </row>
    <row r="43" spans="2:20" ht="14.25">
      <c r="B43" s="1496" t="s">
        <v>633</v>
      </c>
      <c r="C43" s="694" t="s">
        <v>634</v>
      </c>
      <c r="D43" s="713">
        <v>1</v>
      </c>
      <c r="E43" s="713">
        <v>0.9</v>
      </c>
      <c r="F43" s="713">
        <v>1.5</v>
      </c>
      <c r="G43" s="713">
        <v>0.9799806301728314</v>
      </c>
      <c r="H43" s="714">
        <v>0.4485690832677206</v>
      </c>
      <c r="I43" s="715">
        <v>0.82</v>
      </c>
      <c r="J43" s="716">
        <v>0.89</v>
      </c>
      <c r="K43" s="716">
        <v>1</v>
      </c>
      <c r="L43" s="716">
        <v>1</v>
      </c>
      <c r="M43" s="717">
        <v>1</v>
      </c>
      <c r="N43" s="679"/>
      <c r="O43" s="406">
        <v>3.4</v>
      </c>
      <c r="P43" s="407">
        <v>1.428549713440552</v>
      </c>
      <c r="Q43" s="408">
        <v>4.828549713440552</v>
      </c>
      <c r="R43" s="409"/>
      <c r="S43" s="406">
        <v>4.71</v>
      </c>
      <c r="T43" s="1305">
        <v>-0.024551826216174532</v>
      </c>
    </row>
    <row r="44" spans="2:20" ht="14.25">
      <c r="B44" s="1497"/>
      <c r="C44" s="698" t="s">
        <v>635</v>
      </c>
      <c r="D44" s="718">
        <v>0.5</v>
      </c>
      <c r="E44" s="718">
        <v>0.7</v>
      </c>
      <c r="F44" s="718">
        <v>0.6</v>
      </c>
      <c r="G44" s="718">
        <v>0.6794951164339398</v>
      </c>
      <c r="H44" s="719">
        <v>0.3990743796013071</v>
      </c>
      <c r="I44" s="720">
        <v>1.04</v>
      </c>
      <c r="J44" s="721">
        <v>1.18</v>
      </c>
      <c r="K44" s="721">
        <v>1.32</v>
      </c>
      <c r="L44" s="721">
        <v>1.47</v>
      </c>
      <c r="M44" s="722">
        <v>1.62</v>
      </c>
      <c r="N44" s="679"/>
      <c r="O44" s="406">
        <v>1.8</v>
      </c>
      <c r="P44" s="407">
        <v>1.078569496035247</v>
      </c>
      <c r="Q44" s="408">
        <v>2.878569496035247</v>
      </c>
      <c r="R44" s="409"/>
      <c r="S44" s="406">
        <v>6.63</v>
      </c>
      <c r="T44" s="1305">
        <v>1.3032273527290996</v>
      </c>
    </row>
    <row r="45" spans="2:20" ht="14.25">
      <c r="B45" s="1497" t="s">
        <v>636</v>
      </c>
      <c r="C45" s="698" t="s">
        <v>634</v>
      </c>
      <c r="D45" s="718">
        <v>0</v>
      </c>
      <c r="E45" s="718">
        <v>0</v>
      </c>
      <c r="F45" s="718">
        <v>0</v>
      </c>
      <c r="G45" s="718">
        <v>0.009422890674738763</v>
      </c>
      <c r="H45" s="719">
        <v>0.031592364042391595</v>
      </c>
      <c r="I45" s="720">
        <v>0</v>
      </c>
      <c r="J45" s="721">
        <v>0</v>
      </c>
      <c r="K45" s="721">
        <v>0</v>
      </c>
      <c r="L45" s="721">
        <v>0</v>
      </c>
      <c r="M45" s="722">
        <v>0</v>
      </c>
      <c r="N45" s="679"/>
      <c r="O45" s="406">
        <v>0</v>
      </c>
      <c r="P45" s="407">
        <v>0.041015254717130356</v>
      </c>
      <c r="Q45" s="408">
        <v>0.041015254717130356</v>
      </c>
      <c r="R45" s="409"/>
      <c r="S45" s="406">
        <v>0</v>
      </c>
      <c r="T45" s="1305">
        <v>-1</v>
      </c>
    </row>
    <row r="46" spans="2:20" ht="14.25">
      <c r="B46" s="1497"/>
      <c r="C46" s="698" t="s">
        <v>635</v>
      </c>
      <c r="D46" s="718">
        <v>0</v>
      </c>
      <c r="E46" s="721">
        <v>-0.10413095862701416</v>
      </c>
      <c r="F46" s="721">
        <v>-0.2</v>
      </c>
      <c r="G46" s="721">
        <v>-0.03405302036910486</v>
      </c>
      <c r="H46" s="722">
        <v>-0.05377069034065177</v>
      </c>
      <c r="I46" s="720">
        <v>-0.1</v>
      </c>
      <c r="J46" s="721">
        <v>-0.1</v>
      </c>
      <c r="K46" s="721">
        <v>-0.1</v>
      </c>
      <c r="L46" s="721">
        <v>-0.1</v>
      </c>
      <c r="M46" s="722">
        <v>-0.1</v>
      </c>
      <c r="N46" s="679"/>
      <c r="O46" s="406">
        <v>-0.3041309586270141</v>
      </c>
      <c r="P46" s="407">
        <v>-0.08782371070975663</v>
      </c>
      <c r="Q46" s="408">
        <v>-0.3919546693367707</v>
      </c>
      <c r="R46" s="409"/>
      <c r="S46" s="406">
        <v>-0.5</v>
      </c>
      <c r="T46" s="1305">
        <v>0.2756577204350023</v>
      </c>
    </row>
    <row r="47" spans="2:20" ht="14.25">
      <c r="B47" s="1493" t="s">
        <v>488</v>
      </c>
      <c r="C47" s="698" t="s">
        <v>660</v>
      </c>
      <c r="D47" s="723">
        <v>1.7</v>
      </c>
      <c r="E47" s="724">
        <v>1.7</v>
      </c>
      <c r="F47" s="724">
        <v>2</v>
      </c>
      <c r="G47" s="724">
        <v>1.457407091026262</v>
      </c>
      <c r="H47" s="725">
        <v>1.4107007325510907</v>
      </c>
      <c r="I47" s="726">
        <v>1.61</v>
      </c>
      <c r="J47" s="724">
        <v>1.76</v>
      </c>
      <c r="K47" s="724">
        <v>1.94</v>
      </c>
      <c r="L47" s="724">
        <v>1.94</v>
      </c>
      <c r="M47" s="725">
        <v>1.94</v>
      </c>
      <c r="N47" s="679"/>
      <c r="O47" s="406">
        <v>5.4</v>
      </c>
      <c r="P47" s="407">
        <v>2.8681078235773527</v>
      </c>
      <c r="Q47" s="408">
        <v>8.268107823577353</v>
      </c>
      <c r="R47" s="409"/>
      <c r="S47" s="406">
        <v>9.19</v>
      </c>
      <c r="T47" s="1305">
        <v>0.11149977674381281</v>
      </c>
    </row>
    <row r="48" spans="2:20" ht="14.25">
      <c r="B48" s="1493"/>
      <c r="C48" s="698" t="s">
        <v>661</v>
      </c>
      <c r="D48" s="718">
        <v>0.2</v>
      </c>
      <c r="E48" s="721">
        <v>0.2</v>
      </c>
      <c r="F48" s="721">
        <v>0.2</v>
      </c>
      <c r="G48" s="721">
        <v>0.08008191067278525</v>
      </c>
      <c r="H48" s="722">
        <v>0.12106157602826106</v>
      </c>
      <c r="I48" s="720">
        <v>0.48</v>
      </c>
      <c r="J48" s="721">
        <v>0.57</v>
      </c>
      <c r="K48" s="721">
        <v>0.65</v>
      </c>
      <c r="L48" s="721">
        <v>0.73</v>
      </c>
      <c r="M48" s="722">
        <v>0.83</v>
      </c>
      <c r="N48" s="727"/>
      <c r="O48" s="406">
        <v>0.6</v>
      </c>
      <c r="P48" s="407">
        <v>0.20114348670104631</v>
      </c>
      <c r="Q48" s="408">
        <v>0.8011434867010464</v>
      </c>
      <c r="R48" s="409"/>
      <c r="S48" s="406">
        <v>3.26</v>
      </c>
      <c r="T48" s="1305">
        <v>3.069183678224794</v>
      </c>
    </row>
    <row r="49" spans="2:20" ht="14.25">
      <c r="B49" s="1493"/>
      <c r="C49" s="702" t="s">
        <v>788</v>
      </c>
      <c r="D49" s="718">
        <v>0.2</v>
      </c>
      <c r="E49" s="721">
        <v>0.1</v>
      </c>
      <c r="F49" s="721">
        <v>0.1</v>
      </c>
      <c r="G49" s="721">
        <v>0.26593491459818286</v>
      </c>
      <c r="H49" s="722">
        <v>0.30855208881402457</v>
      </c>
      <c r="I49" s="720">
        <v>0.47</v>
      </c>
      <c r="J49" s="721">
        <v>0.51</v>
      </c>
      <c r="K49" s="721">
        <v>0.56</v>
      </c>
      <c r="L49" s="721">
        <v>0.61</v>
      </c>
      <c r="M49" s="722">
        <v>0.66</v>
      </c>
      <c r="N49" s="727"/>
      <c r="O49" s="406">
        <v>0.4</v>
      </c>
      <c r="P49" s="407">
        <v>0.5744870034122074</v>
      </c>
      <c r="Q49" s="408">
        <v>0.9744870034122075</v>
      </c>
      <c r="R49" s="409"/>
      <c r="S49" s="406">
        <v>2.81</v>
      </c>
      <c r="T49" s="1305">
        <v>1.883568472602165</v>
      </c>
    </row>
    <row r="50" spans="2:20" ht="14.25">
      <c r="B50" s="1493" t="s">
        <v>803</v>
      </c>
      <c r="C50" s="698" t="s">
        <v>789</v>
      </c>
      <c r="D50" s="723">
        <v>1.9</v>
      </c>
      <c r="E50" s="724">
        <v>5.2</v>
      </c>
      <c r="F50" s="724">
        <v>5</v>
      </c>
      <c r="G50" s="724">
        <v>3.424697266341166</v>
      </c>
      <c r="H50" s="725">
        <v>3.2169433076456775</v>
      </c>
      <c r="I50" s="726">
        <v>5.15</v>
      </c>
      <c r="J50" s="724">
        <v>7.1</v>
      </c>
      <c r="K50" s="724">
        <v>9.07</v>
      </c>
      <c r="L50" s="724">
        <v>9.07</v>
      </c>
      <c r="M50" s="725">
        <v>9.07</v>
      </c>
      <c r="N50" s="679"/>
      <c r="O50" s="406">
        <v>12.1</v>
      </c>
      <c r="P50" s="407">
        <v>6.641640573986844</v>
      </c>
      <c r="Q50" s="408">
        <v>18.741640573986842</v>
      </c>
      <c r="R50" s="409"/>
      <c r="S50" s="406">
        <v>39.46</v>
      </c>
      <c r="T50" s="1305">
        <v>1.1054720286744788</v>
      </c>
    </row>
    <row r="51" spans="2:20" ht="14.25">
      <c r="B51" s="1493"/>
      <c r="C51" s="698" t="s">
        <v>520</v>
      </c>
      <c r="D51" s="718">
        <v>0.2</v>
      </c>
      <c r="E51" s="721">
        <v>0.6</v>
      </c>
      <c r="F51" s="721">
        <v>1.1</v>
      </c>
      <c r="G51" s="721">
        <v>0.4313589953324856</v>
      </c>
      <c r="H51" s="722">
        <v>0.2474735183320675</v>
      </c>
      <c r="I51" s="720">
        <v>0.43</v>
      </c>
      <c r="J51" s="721">
        <v>0.48</v>
      </c>
      <c r="K51" s="721">
        <v>0.55</v>
      </c>
      <c r="L51" s="721">
        <v>0.61</v>
      </c>
      <c r="M51" s="722">
        <v>0.69</v>
      </c>
      <c r="N51" s="679"/>
      <c r="O51" s="406">
        <v>1.9</v>
      </c>
      <c r="P51" s="407">
        <v>0.6788325136645531</v>
      </c>
      <c r="Q51" s="408">
        <v>2.578832513664553</v>
      </c>
      <c r="R51" s="409"/>
      <c r="S51" s="406">
        <v>2.76</v>
      </c>
      <c r="T51" s="1305">
        <v>0.07025174584835897</v>
      </c>
    </row>
    <row r="52" spans="2:20" ht="14.25">
      <c r="B52" s="1493"/>
      <c r="C52" s="702" t="s">
        <v>650</v>
      </c>
      <c r="D52" s="718">
        <v>0</v>
      </c>
      <c r="E52" s="721">
        <v>0</v>
      </c>
      <c r="F52" s="721">
        <v>0</v>
      </c>
      <c r="G52" s="721">
        <v>0</v>
      </c>
      <c r="H52" s="722">
        <v>0</v>
      </c>
      <c r="I52" s="720">
        <v>0</v>
      </c>
      <c r="J52" s="721">
        <v>0</v>
      </c>
      <c r="K52" s="721">
        <v>0</v>
      </c>
      <c r="L52" s="721">
        <v>0</v>
      </c>
      <c r="M52" s="722">
        <v>0</v>
      </c>
      <c r="N52" s="679"/>
      <c r="O52" s="406">
        <v>0</v>
      </c>
      <c r="P52" s="407">
        <v>0</v>
      </c>
      <c r="Q52" s="408">
        <v>0</v>
      </c>
      <c r="R52" s="409"/>
      <c r="S52" s="406">
        <v>0</v>
      </c>
      <c r="T52" s="1305" t="s">
        <v>814</v>
      </c>
    </row>
    <row r="53" spans="2:20" ht="14.25">
      <c r="B53" s="1493"/>
      <c r="C53" s="702" t="s">
        <v>788</v>
      </c>
      <c r="D53" s="718">
        <v>0.9</v>
      </c>
      <c r="E53" s="721">
        <v>1.1</v>
      </c>
      <c r="F53" s="721">
        <v>2.5</v>
      </c>
      <c r="G53" s="721">
        <v>1.8861359566643816</v>
      </c>
      <c r="H53" s="722">
        <v>2.4316014385969797</v>
      </c>
      <c r="I53" s="720">
        <v>1.71</v>
      </c>
      <c r="J53" s="721">
        <v>1.78</v>
      </c>
      <c r="K53" s="721">
        <v>1.84</v>
      </c>
      <c r="L53" s="721">
        <v>1.89</v>
      </c>
      <c r="M53" s="722">
        <v>1.94</v>
      </c>
      <c r="N53" s="679"/>
      <c r="O53" s="406">
        <v>4.5</v>
      </c>
      <c r="P53" s="407">
        <v>4.317737395261362</v>
      </c>
      <c r="Q53" s="408">
        <v>8.81773739526136</v>
      </c>
      <c r="R53" s="409"/>
      <c r="S53" s="406">
        <v>9.16</v>
      </c>
      <c r="T53" s="1305">
        <v>0.03881524130244238</v>
      </c>
    </row>
    <row r="54" spans="2:20" ht="14.25">
      <c r="B54" s="1493"/>
      <c r="C54" s="698" t="s">
        <v>509</v>
      </c>
      <c r="D54" s="718">
        <v>0.1</v>
      </c>
      <c r="E54" s="721">
        <v>0.8</v>
      </c>
      <c r="F54" s="721">
        <v>0.7</v>
      </c>
      <c r="G54" s="721">
        <v>0.38475537582267194</v>
      </c>
      <c r="H54" s="722">
        <v>0.8151254784279433</v>
      </c>
      <c r="I54" s="720">
        <v>1.66</v>
      </c>
      <c r="J54" s="721">
        <v>1.75</v>
      </c>
      <c r="K54" s="721">
        <v>1.83</v>
      </c>
      <c r="L54" s="721">
        <v>1.91</v>
      </c>
      <c r="M54" s="722">
        <v>1.98</v>
      </c>
      <c r="N54" s="679"/>
      <c r="O54" s="406">
        <v>1.6</v>
      </c>
      <c r="P54" s="407">
        <v>1.1998808542506152</v>
      </c>
      <c r="Q54" s="408">
        <v>2.799880854250615</v>
      </c>
      <c r="R54" s="409"/>
      <c r="S54" s="406">
        <v>9.13</v>
      </c>
      <c r="T54" s="1305">
        <v>2.260853041706889</v>
      </c>
    </row>
    <row r="55" spans="2:20" ht="14.25">
      <c r="B55" s="1493"/>
      <c r="C55" s="698" t="s">
        <v>510</v>
      </c>
      <c r="D55" s="718">
        <v>0.6</v>
      </c>
      <c r="E55" s="721">
        <v>1</v>
      </c>
      <c r="F55" s="721">
        <v>0.8</v>
      </c>
      <c r="G55" s="721">
        <v>0.6470384929987284</v>
      </c>
      <c r="H55" s="722">
        <v>0.48757548505424364</v>
      </c>
      <c r="I55" s="720">
        <v>0.7</v>
      </c>
      <c r="J55" s="721">
        <v>0.7</v>
      </c>
      <c r="K55" s="721">
        <v>0.7</v>
      </c>
      <c r="L55" s="721">
        <v>0.7</v>
      </c>
      <c r="M55" s="722">
        <v>0.7</v>
      </c>
      <c r="N55" s="679"/>
      <c r="O55" s="406">
        <v>2.4</v>
      </c>
      <c r="P55" s="407">
        <v>1.134613978052972</v>
      </c>
      <c r="Q55" s="408">
        <v>3.534613978052972</v>
      </c>
      <c r="R55" s="409"/>
      <c r="S55" s="406">
        <v>3.5</v>
      </c>
      <c r="T55" s="1305">
        <v>-0.009792859494104966</v>
      </c>
    </row>
    <row r="56" spans="2:20" ht="14.25">
      <c r="B56" s="1493" t="s">
        <v>809</v>
      </c>
      <c r="C56" s="698" t="s">
        <v>789</v>
      </c>
      <c r="D56" s="723">
        <v>0.3</v>
      </c>
      <c r="E56" s="724">
        <v>0.4</v>
      </c>
      <c r="F56" s="724">
        <v>0.9</v>
      </c>
      <c r="G56" s="724">
        <v>2.077223899853523</v>
      </c>
      <c r="H56" s="725">
        <v>1.208934464022185</v>
      </c>
      <c r="I56" s="726">
        <v>0.66</v>
      </c>
      <c r="J56" s="724">
        <v>1.08</v>
      </c>
      <c r="K56" s="724">
        <v>1.51</v>
      </c>
      <c r="L56" s="724">
        <v>1.51</v>
      </c>
      <c r="M56" s="725">
        <v>1.52</v>
      </c>
      <c r="N56" s="679"/>
      <c r="O56" s="406">
        <v>1.6</v>
      </c>
      <c r="P56" s="407">
        <v>3.2861583638757077</v>
      </c>
      <c r="Q56" s="408">
        <v>4.886158363875708</v>
      </c>
      <c r="R56" s="409"/>
      <c r="S56" s="406">
        <v>6.28</v>
      </c>
      <c r="T56" s="1305">
        <v>0.2852632952769659</v>
      </c>
    </row>
    <row r="57" spans="2:20" ht="14.25">
      <c r="B57" s="1493"/>
      <c r="C57" s="698" t="s">
        <v>520</v>
      </c>
      <c r="D57" s="718">
        <v>0.8</v>
      </c>
      <c r="E57" s="721">
        <v>0.9</v>
      </c>
      <c r="F57" s="721">
        <v>0</v>
      </c>
      <c r="G57" s="721">
        <v>0.04711445337369381</v>
      </c>
      <c r="H57" s="722">
        <v>0.10846711654554447</v>
      </c>
      <c r="I57" s="720">
        <v>0.14</v>
      </c>
      <c r="J57" s="721">
        <v>0.17</v>
      </c>
      <c r="K57" s="721">
        <v>0.2</v>
      </c>
      <c r="L57" s="721">
        <v>0.23</v>
      </c>
      <c r="M57" s="722">
        <v>0.26</v>
      </c>
      <c r="N57" s="679"/>
      <c r="O57" s="406">
        <v>1.7</v>
      </c>
      <c r="P57" s="407">
        <v>0.15558156991923827</v>
      </c>
      <c r="Q57" s="408">
        <v>1.8555815699192384</v>
      </c>
      <c r="R57" s="409"/>
      <c r="S57" s="406">
        <v>1</v>
      </c>
      <c r="T57" s="1305">
        <v>-0.4610853997415357</v>
      </c>
    </row>
    <row r="58" spans="2:20" ht="14.25">
      <c r="B58" s="1493"/>
      <c r="C58" s="698" t="s">
        <v>650</v>
      </c>
      <c r="D58" s="718">
        <v>0</v>
      </c>
      <c r="E58" s="721">
        <v>0</v>
      </c>
      <c r="F58" s="721">
        <v>0</v>
      </c>
      <c r="G58" s="721">
        <v>0</v>
      </c>
      <c r="H58" s="722">
        <v>0</v>
      </c>
      <c r="I58" s="720">
        <v>0</v>
      </c>
      <c r="J58" s="721">
        <v>0</v>
      </c>
      <c r="K58" s="721">
        <v>0</v>
      </c>
      <c r="L58" s="721">
        <v>0</v>
      </c>
      <c r="M58" s="722">
        <v>0</v>
      </c>
      <c r="N58" s="679"/>
      <c r="O58" s="406">
        <v>0</v>
      </c>
      <c r="P58" s="407">
        <v>0</v>
      </c>
      <c r="Q58" s="408">
        <v>0</v>
      </c>
      <c r="R58" s="409"/>
      <c r="S58" s="406">
        <v>0</v>
      </c>
      <c r="T58" s="1305" t="s">
        <v>814</v>
      </c>
    </row>
    <row r="59" spans="2:20" ht="14.25">
      <c r="B59" s="1493"/>
      <c r="C59" s="698" t="s">
        <v>788</v>
      </c>
      <c r="D59" s="718">
        <v>0.5</v>
      </c>
      <c r="E59" s="721">
        <v>1.3</v>
      </c>
      <c r="F59" s="721">
        <v>1.9</v>
      </c>
      <c r="G59" s="721">
        <v>1.0752565247729677</v>
      </c>
      <c r="H59" s="722">
        <v>1.5185396316376227</v>
      </c>
      <c r="I59" s="720">
        <v>0.65</v>
      </c>
      <c r="J59" s="721">
        <v>0.66</v>
      </c>
      <c r="K59" s="721">
        <v>0.67</v>
      </c>
      <c r="L59" s="721">
        <v>0.67</v>
      </c>
      <c r="M59" s="722">
        <v>0.67</v>
      </c>
      <c r="N59" s="679"/>
      <c r="O59" s="406">
        <v>3.7</v>
      </c>
      <c r="P59" s="407">
        <v>2.5937961564105905</v>
      </c>
      <c r="Q59" s="408">
        <v>6.293796156410591</v>
      </c>
      <c r="R59" s="409"/>
      <c r="S59" s="406">
        <v>3.32</v>
      </c>
      <c r="T59" s="1305">
        <v>-0.47249642068270825</v>
      </c>
    </row>
    <row r="60" spans="2:20" ht="14.25">
      <c r="B60" s="1493"/>
      <c r="C60" s="698" t="s">
        <v>509</v>
      </c>
      <c r="D60" s="718">
        <v>0.1</v>
      </c>
      <c r="E60" s="721">
        <v>0.3</v>
      </c>
      <c r="F60" s="721">
        <v>0.8</v>
      </c>
      <c r="G60" s="721">
        <v>0.4219107845327584</v>
      </c>
      <c r="H60" s="722">
        <v>0.16120602888467728</v>
      </c>
      <c r="I60" s="720">
        <v>1.26</v>
      </c>
      <c r="J60" s="721">
        <v>1.32</v>
      </c>
      <c r="K60" s="721">
        <v>1.39</v>
      </c>
      <c r="L60" s="721">
        <v>1.5</v>
      </c>
      <c r="M60" s="722">
        <v>1.56</v>
      </c>
      <c r="N60" s="679"/>
      <c r="O60" s="406">
        <v>1.2</v>
      </c>
      <c r="P60" s="407">
        <v>0.5831168134174356</v>
      </c>
      <c r="Q60" s="408">
        <v>1.7831168134174358</v>
      </c>
      <c r="R60" s="409"/>
      <c r="S60" s="406">
        <v>7.03</v>
      </c>
      <c r="T60" s="1305">
        <v>2.9425347498836274</v>
      </c>
    </row>
    <row r="61" spans="2:20" ht="14.25">
      <c r="B61" s="1493"/>
      <c r="C61" s="703" t="s">
        <v>510</v>
      </c>
      <c r="D61" s="718">
        <v>0.4</v>
      </c>
      <c r="E61" s="721">
        <v>0.1</v>
      </c>
      <c r="F61" s="721">
        <v>0.3</v>
      </c>
      <c r="G61" s="721">
        <v>0.1382023965628352</v>
      </c>
      <c r="H61" s="722">
        <v>0.21272191788543676</v>
      </c>
      <c r="I61" s="720">
        <v>0.48</v>
      </c>
      <c r="J61" s="721">
        <v>0.48</v>
      </c>
      <c r="K61" s="721">
        <v>0.48</v>
      </c>
      <c r="L61" s="721">
        <v>0.48</v>
      </c>
      <c r="M61" s="722">
        <v>0.48</v>
      </c>
      <c r="N61" s="679"/>
      <c r="O61" s="406">
        <v>0.8</v>
      </c>
      <c r="P61" s="407">
        <v>0.350924314448272</v>
      </c>
      <c r="Q61" s="408">
        <v>1.150924314448272</v>
      </c>
      <c r="R61" s="409"/>
      <c r="S61" s="406">
        <v>2.4</v>
      </c>
      <c r="T61" s="1305">
        <v>1.0852804740253557</v>
      </c>
    </row>
    <row r="62" spans="2:20" ht="14.25">
      <c r="B62" s="1493" t="s">
        <v>807</v>
      </c>
      <c r="C62" s="704" t="s">
        <v>789</v>
      </c>
      <c r="D62" s="723">
        <v>0.5</v>
      </c>
      <c r="E62" s="724">
        <v>1.3</v>
      </c>
      <c r="F62" s="724">
        <v>1.1</v>
      </c>
      <c r="G62" s="724">
        <v>0.8857517234254437</v>
      </c>
      <c r="H62" s="725">
        <v>0.3338259800479379</v>
      </c>
      <c r="I62" s="726">
        <v>0.6</v>
      </c>
      <c r="J62" s="724">
        <v>0.77</v>
      </c>
      <c r="K62" s="724">
        <v>0.96</v>
      </c>
      <c r="L62" s="724">
        <v>0.98</v>
      </c>
      <c r="M62" s="725">
        <v>1</v>
      </c>
      <c r="N62" s="679"/>
      <c r="O62" s="406">
        <v>2.9</v>
      </c>
      <c r="P62" s="407">
        <v>1.2195777034733817</v>
      </c>
      <c r="Q62" s="408">
        <v>4.119577703473382</v>
      </c>
      <c r="R62" s="409"/>
      <c r="S62" s="406">
        <v>4.31</v>
      </c>
      <c r="T62" s="1305">
        <v>0.046223741905891354</v>
      </c>
    </row>
    <row r="63" spans="2:20" ht="14.25">
      <c r="B63" s="1493"/>
      <c r="C63" s="698" t="s">
        <v>520</v>
      </c>
      <c r="D63" s="718">
        <v>0</v>
      </c>
      <c r="E63" s="721">
        <v>0</v>
      </c>
      <c r="F63" s="721">
        <v>0.4</v>
      </c>
      <c r="G63" s="721">
        <v>0.13087348159359394</v>
      </c>
      <c r="H63" s="722">
        <v>0.1621741354176102</v>
      </c>
      <c r="I63" s="720">
        <v>0.36</v>
      </c>
      <c r="J63" s="721">
        <v>0.48</v>
      </c>
      <c r="K63" s="721">
        <v>0.6</v>
      </c>
      <c r="L63" s="721">
        <v>0.6</v>
      </c>
      <c r="M63" s="722">
        <v>0.71</v>
      </c>
      <c r="N63" s="679"/>
      <c r="O63" s="406">
        <v>0.4</v>
      </c>
      <c r="P63" s="407">
        <v>0.29304761701120413</v>
      </c>
      <c r="Q63" s="408">
        <v>0.6930476170112041</v>
      </c>
      <c r="R63" s="409"/>
      <c r="S63" s="406">
        <v>2.75</v>
      </c>
      <c r="T63" s="1305">
        <v>2.9679813226391087</v>
      </c>
    </row>
    <row r="64" spans="2:20" ht="14.25">
      <c r="B64" s="1493"/>
      <c r="C64" s="703" t="s">
        <v>521</v>
      </c>
      <c r="D64" s="718">
        <v>0</v>
      </c>
      <c r="E64" s="721">
        <v>0</v>
      </c>
      <c r="F64" s="721">
        <v>0</v>
      </c>
      <c r="G64" s="721">
        <v>0</v>
      </c>
      <c r="H64" s="722">
        <v>0</v>
      </c>
      <c r="I64" s="720">
        <v>0</v>
      </c>
      <c r="J64" s="721">
        <v>0</v>
      </c>
      <c r="K64" s="721">
        <v>0</v>
      </c>
      <c r="L64" s="721">
        <v>0</v>
      </c>
      <c r="M64" s="722">
        <v>0</v>
      </c>
      <c r="N64" s="679"/>
      <c r="O64" s="406">
        <v>0</v>
      </c>
      <c r="P64" s="407">
        <v>0</v>
      </c>
      <c r="Q64" s="408">
        <v>0</v>
      </c>
      <c r="R64" s="409"/>
      <c r="S64" s="406">
        <v>0</v>
      </c>
      <c r="T64" s="1305" t="s">
        <v>814</v>
      </c>
    </row>
    <row r="65" spans="2:20" ht="14.25">
      <c r="B65" s="1493"/>
      <c r="C65" s="703" t="s">
        <v>788</v>
      </c>
      <c r="D65" s="718">
        <v>1</v>
      </c>
      <c r="E65" s="721">
        <v>1.8</v>
      </c>
      <c r="F65" s="721">
        <v>0.1</v>
      </c>
      <c r="G65" s="721">
        <v>0.5569975376623358</v>
      </c>
      <c r="H65" s="722">
        <v>0.13584716538228386</v>
      </c>
      <c r="I65" s="720">
        <v>0.16</v>
      </c>
      <c r="J65" s="721">
        <v>0.17</v>
      </c>
      <c r="K65" s="721">
        <v>0.18</v>
      </c>
      <c r="L65" s="721">
        <v>0.2</v>
      </c>
      <c r="M65" s="722">
        <v>0.21</v>
      </c>
      <c r="N65" s="679"/>
      <c r="O65" s="406">
        <v>2.9</v>
      </c>
      <c r="P65" s="407">
        <v>0.6928447030446196</v>
      </c>
      <c r="Q65" s="408">
        <v>3.59284470304462</v>
      </c>
      <c r="R65" s="409"/>
      <c r="S65" s="406">
        <v>0.92</v>
      </c>
      <c r="T65" s="1305">
        <v>-0.7439354951188453</v>
      </c>
    </row>
    <row r="66" spans="2:20" ht="14.25">
      <c r="B66" s="1493"/>
      <c r="C66" s="703" t="s">
        <v>509</v>
      </c>
      <c r="D66" s="718">
        <v>0.1</v>
      </c>
      <c r="E66" s="721">
        <v>0.6</v>
      </c>
      <c r="F66" s="721">
        <v>0.8</v>
      </c>
      <c r="G66" s="721">
        <v>1.0417529134850076</v>
      </c>
      <c r="H66" s="722">
        <v>0</v>
      </c>
      <c r="I66" s="720">
        <v>2.29</v>
      </c>
      <c r="J66" s="721">
        <v>2.29</v>
      </c>
      <c r="K66" s="721">
        <v>2.29</v>
      </c>
      <c r="L66" s="721">
        <v>2.14</v>
      </c>
      <c r="M66" s="722">
        <v>2.14</v>
      </c>
      <c r="N66" s="679"/>
      <c r="O66" s="406">
        <v>1.5</v>
      </c>
      <c r="P66" s="407">
        <v>1.0417529134850076</v>
      </c>
      <c r="Q66" s="408">
        <v>2.5417529134850074</v>
      </c>
      <c r="R66" s="409"/>
      <c r="S66" s="406">
        <v>11.15</v>
      </c>
      <c r="T66" s="1305">
        <v>3.3867363900105425</v>
      </c>
    </row>
    <row r="67" spans="2:20" ht="15" thickBot="1">
      <c r="B67" s="1498"/>
      <c r="C67" s="728" t="s">
        <v>510</v>
      </c>
      <c r="D67" s="729">
        <v>0.2</v>
      </c>
      <c r="E67" s="730">
        <v>0.2</v>
      </c>
      <c r="F67" s="730">
        <v>0.9</v>
      </c>
      <c r="G67" s="730">
        <v>0.23661925472121784</v>
      </c>
      <c r="H67" s="731">
        <v>0.1937664994600018</v>
      </c>
      <c r="I67" s="732">
        <v>0.21</v>
      </c>
      <c r="J67" s="730">
        <v>0.21</v>
      </c>
      <c r="K67" s="730">
        <v>0.21</v>
      </c>
      <c r="L67" s="730">
        <v>0.21</v>
      </c>
      <c r="M67" s="731">
        <v>0.21</v>
      </c>
      <c r="N67" s="679"/>
      <c r="O67" s="406">
        <v>1.3</v>
      </c>
      <c r="P67" s="407">
        <v>0.4303857541812196</v>
      </c>
      <c r="Q67" s="408">
        <v>1.7303857541812198</v>
      </c>
      <c r="R67" s="409"/>
      <c r="S67" s="406">
        <v>1.05</v>
      </c>
      <c r="T67" s="1305">
        <v>-0.39319888789951535</v>
      </c>
    </row>
    <row r="68" spans="2:20" ht="15.75" thickBot="1">
      <c r="B68" s="733" t="s">
        <v>303</v>
      </c>
      <c r="C68" s="734"/>
      <c r="D68" s="735">
        <v>11.2</v>
      </c>
      <c r="E68" s="736">
        <v>19.09586904137299</v>
      </c>
      <c r="F68" s="736">
        <v>21.5</v>
      </c>
      <c r="G68" s="736">
        <v>16.82395859035245</v>
      </c>
      <c r="H68" s="737">
        <v>13.899981701304355</v>
      </c>
      <c r="I68" s="738">
        <v>20.78</v>
      </c>
      <c r="J68" s="736">
        <v>24.25</v>
      </c>
      <c r="K68" s="736">
        <v>27.85</v>
      </c>
      <c r="L68" s="736">
        <v>28.35</v>
      </c>
      <c r="M68" s="737">
        <v>29.09</v>
      </c>
      <c r="N68" s="679"/>
      <c r="O68" s="410">
        <v>51.79586904137299</v>
      </c>
      <c r="P68" s="411">
        <v>30.723940291656806</v>
      </c>
      <c r="Q68" s="412">
        <v>82.5198093330298</v>
      </c>
      <c r="R68" s="409"/>
      <c r="S68" s="410">
        <v>130.32</v>
      </c>
      <c r="T68" s="1318">
        <v>0.5792571632595553</v>
      </c>
    </row>
    <row r="69" spans="2:20" ht="15">
      <c r="B69" s="710"/>
      <c r="C69" s="710"/>
      <c r="D69" s="409"/>
      <c r="E69" s="409"/>
      <c r="F69" s="409"/>
      <c r="G69" s="409"/>
      <c r="H69" s="409"/>
      <c r="I69" s="409"/>
      <c r="J69" s="409"/>
      <c r="K69" s="409"/>
      <c r="L69" s="409"/>
      <c r="M69" s="409"/>
      <c r="N69" s="679"/>
      <c r="O69" s="679"/>
      <c r="P69" s="679"/>
      <c r="Q69" s="679"/>
      <c r="R69" s="712"/>
      <c r="S69" s="712"/>
      <c r="T69" s="712"/>
    </row>
    <row r="70" spans="2:20" ht="14.25">
      <c r="B70" s="679"/>
      <c r="C70" s="679"/>
      <c r="D70" s="679"/>
      <c r="E70" s="679"/>
      <c r="F70" s="679"/>
      <c r="G70" s="679"/>
      <c r="H70" s="679"/>
      <c r="I70" s="679"/>
      <c r="J70" s="679"/>
      <c r="K70" s="679"/>
      <c r="L70" s="679"/>
      <c r="M70" s="679"/>
      <c r="N70" s="679"/>
      <c r="O70" s="679"/>
      <c r="P70" s="679"/>
      <c r="Q70" s="679"/>
      <c r="R70" s="712"/>
      <c r="S70" s="712"/>
      <c r="T70" s="712"/>
    </row>
    <row r="71" spans="2:20" ht="15">
      <c r="B71" s="677" t="s">
        <v>304</v>
      </c>
      <c r="C71" s="679"/>
      <c r="D71" s="679"/>
      <c r="E71" s="679"/>
      <c r="F71" s="679"/>
      <c r="G71" s="679"/>
      <c r="H71" s="679"/>
      <c r="I71" s="679"/>
      <c r="J71" s="679"/>
      <c r="K71" s="679"/>
      <c r="L71" s="679"/>
      <c r="M71" s="679"/>
      <c r="N71" s="409"/>
      <c r="O71" s="679"/>
      <c r="P71" s="679"/>
      <c r="Q71" s="679"/>
      <c r="R71" s="712"/>
      <c r="S71" s="712"/>
      <c r="T71" s="712"/>
    </row>
    <row r="72" spans="2:20" ht="15" thickBot="1">
      <c r="B72" s="679"/>
      <c r="C72" s="679"/>
      <c r="D72" s="679"/>
      <c r="E72" s="679"/>
      <c r="F72" s="679"/>
      <c r="G72" s="679"/>
      <c r="H72" s="679"/>
      <c r="I72" s="679"/>
      <c r="J72" s="679"/>
      <c r="K72" s="679"/>
      <c r="L72" s="679"/>
      <c r="M72" s="679"/>
      <c r="N72" s="409"/>
      <c r="O72" s="679"/>
      <c r="P72" s="679"/>
      <c r="Q72" s="679"/>
      <c r="R72" s="712"/>
      <c r="S72" s="712"/>
      <c r="T72" s="712"/>
    </row>
    <row r="73" spans="2:20" ht="15">
      <c r="B73" s="681" t="s">
        <v>643</v>
      </c>
      <c r="C73" s="682"/>
      <c r="D73" s="684" t="s">
        <v>644</v>
      </c>
      <c r="E73" s="684"/>
      <c r="F73" s="684"/>
      <c r="G73" s="684"/>
      <c r="H73" s="685"/>
      <c r="I73" s="683" t="s">
        <v>645</v>
      </c>
      <c r="J73" s="684"/>
      <c r="K73" s="684"/>
      <c r="L73" s="684"/>
      <c r="M73" s="685"/>
      <c r="N73" s="409"/>
      <c r="O73" s="1343" t="s">
        <v>646</v>
      </c>
      <c r="P73" s="1344"/>
      <c r="Q73" s="1345"/>
      <c r="R73" s="409"/>
      <c r="S73" s="1343" t="s">
        <v>647</v>
      </c>
      <c r="T73" s="1345"/>
    </row>
    <row r="74" spans="2:20" ht="25.5">
      <c r="B74" s="686"/>
      <c r="C74" s="687"/>
      <c r="D74" s="693" t="s">
        <v>561</v>
      </c>
      <c r="E74" s="689" t="s">
        <v>562</v>
      </c>
      <c r="F74" s="689" t="s">
        <v>558</v>
      </c>
      <c r="G74" s="689" t="s">
        <v>563</v>
      </c>
      <c r="H74" s="690" t="s">
        <v>564</v>
      </c>
      <c r="I74" s="688" t="s">
        <v>648</v>
      </c>
      <c r="J74" s="689" t="s">
        <v>667</v>
      </c>
      <c r="K74" s="689" t="s">
        <v>668</v>
      </c>
      <c r="L74" s="689" t="s">
        <v>669</v>
      </c>
      <c r="M74" s="690" t="s">
        <v>670</v>
      </c>
      <c r="N74" s="409"/>
      <c r="O74" s="1346" t="s">
        <v>657</v>
      </c>
      <c r="P74" s="1347" t="s">
        <v>658</v>
      </c>
      <c r="Q74" s="1348" t="s">
        <v>810</v>
      </c>
      <c r="R74" s="409"/>
      <c r="S74" s="1346" t="s">
        <v>658</v>
      </c>
      <c r="T74" s="1348" t="s">
        <v>659</v>
      </c>
    </row>
    <row r="75" spans="2:20" ht="18">
      <c r="B75" s="691"/>
      <c r="C75" s="692"/>
      <c r="D75" s="693" t="s">
        <v>543</v>
      </c>
      <c r="E75" s="689" t="s">
        <v>543</v>
      </c>
      <c r="F75" s="689" t="s">
        <v>543</v>
      </c>
      <c r="G75" s="689" t="s">
        <v>543</v>
      </c>
      <c r="H75" s="690" t="s">
        <v>543</v>
      </c>
      <c r="I75" s="688" t="s">
        <v>543</v>
      </c>
      <c r="J75" s="689" t="s">
        <v>543</v>
      </c>
      <c r="K75" s="689" t="s">
        <v>543</v>
      </c>
      <c r="L75" s="689" t="s">
        <v>543</v>
      </c>
      <c r="M75" s="690" t="s">
        <v>543</v>
      </c>
      <c r="N75" s="679"/>
      <c r="O75" s="565"/>
      <c r="P75" s="566"/>
      <c r="Q75" s="567"/>
      <c r="R75" s="409"/>
      <c r="S75" s="514"/>
      <c r="T75" s="516"/>
    </row>
    <row r="76" spans="2:20" ht="14.25">
      <c r="B76" s="1496" t="s">
        <v>633</v>
      </c>
      <c r="C76" s="694" t="s">
        <v>634</v>
      </c>
      <c r="D76" s="713">
        <v>0</v>
      </c>
      <c r="E76" s="713">
        <v>0</v>
      </c>
      <c r="F76" s="713">
        <v>0</v>
      </c>
      <c r="G76" s="713">
        <v>0</v>
      </c>
      <c r="H76" s="714">
        <v>0</v>
      </c>
      <c r="I76" s="715">
        <v>0</v>
      </c>
      <c r="J76" s="716">
        <v>0</v>
      </c>
      <c r="K76" s="716">
        <v>0</v>
      </c>
      <c r="L76" s="716">
        <v>0</v>
      </c>
      <c r="M76" s="717">
        <v>0</v>
      </c>
      <c r="N76" s="679"/>
      <c r="O76" s="406">
        <v>0</v>
      </c>
      <c r="P76" s="407">
        <v>0</v>
      </c>
      <c r="Q76" s="408">
        <v>0</v>
      </c>
      <c r="R76" s="409"/>
      <c r="S76" s="406">
        <v>0</v>
      </c>
      <c r="T76" s="1305" t="s">
        <v>814</v>
      </c>
    </row>
    <row r="77" spans="2:20" ht="14.25">
      <c r="B77" s="1497"/>
      <c r="C77" s="698" t="s">
        <v>635</v>
      </c>
      <c r="D77" s="718">
        <v>0</v>
      </c>
      <c r="E77" s="718">
        <v>0</v>
      </c>
      <c r="F77" s="718">
        <v>0</v>
      </c>
      <c r="G77" s="718">
        <v>0</v>
      </c>
      <c r="H77" s="719">
        <v>0</v>
      </c>
      <c r="I77" s="720">
        <v>0</v>
      </c>
      <c r="J77" s="721">
        <v>0</v>
      </c>
      <c r="K77" s="721">
        <v>0</v>
      </c>
      <c r="L77" s="721">
        <v>0</v>
      </c>
      <c r="M77" s="722">
        <v>0</v>
      </c>
      <c r="N77" s="679"/>
      <c r="O77" s="406">
        <v>0</v>
      </c>
      <c r="P77" s="407">
        <v>0</v>
      </c>
      <c r="Q77" s="408">
        <v>0</v>
      </c>
      <c r="R77" s="409"/>
      <c r="S77" s="406">
        <v>0</v>
      </c>
      <c r="T77" s="1305" t="s">
        <v>814</v>
      </c>
    </row>
    <row r="78" spans="2:20" ht="14.25">
      <c r="B78" s="1497" t="s">
        <v>636</v>
      </c>
      <c r="C78" s="698" t="s">
        <v>634</v>
      </c>
      <c r="D78" s="718">
        <v>0</v>
      </c>
      <c r="E78" s="718">
        <v>0</v>
      </c>
      <c r="F78" s="718">
        <v>0</v>
      </c>
      <c r="G78" s="718">
        <v>0</v>
      </c>
      <c r="H78" s="719">
        <v>0</v>
      </c>
      <c r="I78" s="720">
        <v>0</v>
      </c>
      <c r="J78" s="721">
        <v>0</v>
      </c>
      <c r="K78" s="721">
        <v>0</v>
      </c>
      <c r="L78" s="721">
        <v>0</v>
      </c>
      <c r="M78" s="722">
        <v>0</v>
      </c>
      <c r="N78" s="679"/>
      <c r="O78" s="406">
        <v>0</v>
      </c>
      <c r="P78" s="407">
        <v>0</v>
      </c>
      <c r="Q78" s="408">
        <v>0</v>
      </c>
      <c r="R78" s="409"/>
      <c r="S78" s="406">
        <v>0</v>
      </c>
      <c r="T78" s="1305" t="s">
        <v>814</v>
      </c>
    </row>
    <row r="79" spans="2:20" ht="14.25">
      <c r="B79" s="1497"/>
      <c r="C79" s="698" t="s">
        <v>635</v>
      </c>
      <c r="D79" s="718">
        <v>0</v>
      </c>
      <c r="E79" s="718">
        <v>0</v>
      </c>
      <c r="F79" s="718">
        <v>0</v>
      </c>
      <c r="G79" s="718">
        <v>0</v>
      </c>
      <c r="H79" s="719">
        <v>0</v>
      </c>
      <c r="I79" s="720">
        <v>0</v>
      </c>
      <c r="J79" s="721">
        <v>0</v>
      </c>
      <c r="K79" s="721">
        <v>0</v>
      </c>
      <c r="L79" s="721">
        <v>0</v>
      </c>
      <c r="M79" s="722">
        <v>0</v>
      </c>
      <c r="N79" s="679"/>
      <c r="O79" s="406">
        <v>0</v>
      </c>
      <c r="P79" s="407">
        <v>0</v>
      </c>
      <c r="Q79" s="408">
        <v>0</v>
      </c>
      <c r="R79" s="409"/>
      <c r="S79" s="406">
        <v>0</v>
      </c>
      <c r="T79" s="1305" t="s">
        <v>814</v>
      </c>
    </row>
    <row r="80" spans="2:20" ht="14.25">
      <c r="B80" s="1493" t="s">
        <v>488</v>
      </c>
      <c r="C80" s="698" t="s">
        <v>660</v>
      </c>
      <c r="D80" s="718">
        <v>0</v>
      </c>
      <c r="E80" s="718">
        <v>0</v>
      </c>
      <c r="F80" s="718">
        <v>0</v>
      </c>
      <c r="G80" s="718">
        <v>0</v>
      </c>
      <c r="H80" s="719">
        <v>0</v>
      </c>
      <c r="I80" s="720">
        <v>0</v>
      </c>
      <c r="J80" s="721">
        <v>0</v>
      </c>
      <c r="K80" s="721">
        <v>0</v>
      </c>
      <c r="L80" s="721">
        <v>0</v>
      </c>
      <c r="M80" s="722">
        <v>0</v>
      </c>
      <c r="N80" s="679"/>
      <c r="O80" s="406">
        <v>0</v>
      </c>
      <c r="P80" s="407">
        <v>0</v>
      </c>
      <c r="Q80" s="408">
        <v>0</v>
      </c>
      <c r="R80" s="409"/>
      <c r="S80" s="406">
        <v>0</v>
      </c>
      <c r="T80" s="1305" t="s">
        <v>814</v>
      </c>
    </row>
    <row r="81" spans="2:20" ht="14.25">
      <c r="B81" s="1493"/>
      <c r="C81" s="698" t="s">
        <v>661</v>
      </c>
      <c r="D81" s="718">
        <v>0</v>
      </c>
      <c r="E81" s="718">
        <v>0</v>
      </c>
      <c r="F81" s="718">
        <v>0.1</v>
      </c>
      <c r="G81" s="718">
        <v>0.1</v>
      </c>
      <c r="H81" s="719">
        <v>0.1</v>
      </c>
      <c r="I81" s="720">
        <v>0.1</v>
      </c>
      <c r="J81" s="721">
        <v>0.1</v>
      </c>
      <c r="K81" s="721">
        <v>0.1</v>
      </c>
      <c r="L81" s="721">
        <v>0.1</v>
      </c>
      <c r="M81" s="722">
        <v>0.1</v>
      </c>
      <c r="N81" s="679"/>
      <c r="O81" s="406">
        <v>0.1</v>
      </c>
      <c r="P81" s="407">
        <v>0.2</v>
      </c>
      <c r="Q81" s="408">
        <v>0.3</v>
      </c>
      <c r="R81" s="409"/>
      <c r="S81" s="406">
        <v>0.5</v>
      </c>
      <c r="T81" s="1305">
        <v>0.6666666666666664</v>
      </c>
    </row>
    <row r="82" spans="2:20" ht="14.25">
      <c r="B82" s="1493"/>
      <c r="C82" s="702" t="s">
        <v>788</v>
      </c>
      <c r="D82" s="718">
        <v>0</v>
      </c>
      <c r="E82" s="718">
        <v>0</v>
      </c>
      <c r="F82" s="718">
        <v>0</v>
      </c>
      <c r="G82" s="718">
        <v>0</v>
      </c>
      <c r="H82" s="719">
        <v>0</v>
      </c>
      <c r="I82" s="720">
        <v>0</v>
      </c>
      <c r="J82" s="721">
        <v>0</v>
      </c>
      <c r="K82" s="721">
        <v>0</v>
      </c>
      <c r="L82" s="721">
        <v>0</v>
      </c>
      <c r="M82" s="722">
        <v>0</v>
      </c>
      <c r="N82" s="679"/>
      <c r="O82" s="406">
        <v>0</v>
      </c>
      <c r="P82" s="407">
        <v>0</v>
      </c>
      <c r="Q82" s="408">
        <v>0</v>
      </c>
      <c r="R82" s="409"/>
      <c r="S82" s="406">
        <v>0</v>
      </c>
      <c r="T82" s="1305" t="s">
        <v>814</v>
      </c>
    </row>
    <row r="83" spans="2:20" ht="14.25">
      <c r="B83" s="1493" t="s">
        <v>803</v>
      </c>
      <c r="C83" s="698" t="s">
        <v>789</v>
      </c>
      <c r="D83" s="718">
        <v>0</v>
      </c>
      <c r="E83" s="718">
        <v>0</v>
      </c>
      <c r="F83" s="718">
        <v>0</v>
      </c>
      <c r="G83" s="718">
        <v>0</v>
      </c>
      <c r="H83" s="719">
        <v>0</v>
      </c>
      <c r="I83" s="720">
        <v>0</v>
      </c>
      <c r="J83" s="721">
        <v>0</v>
      </c>
      <c r="K83" s="721">
        <v>0</v>
      </c>
      <c r="L83" s="721">
        <v>0</v>
      </c>
      <c r="M83" s="722">
        <v>0</v>
      </c>
      <c r="N83" s="679"/>
      <c r="O83" s="406">
        <v>0</v>
      </c>
      <c r="P83" s="407">
        <v>0</v>
      </c>
      <c r="Q83" s="408">
        <v>0</v>
      </c>
      <c r="R83" s="409"/>
      <c r="S83" s="406">
        <v>0</v>
      </c>
      <c r="T83" s="1305" t="s">
        <v>814</v>
      </c>
    </row>
    <row r="84" spans="2:20" ht="14.25">
      <c r="B84" s="1493"/>
      <c r="C84" s="698" t="s">
        <v>520</v>
      </c>
      <c r="D84" s="718">
        <v>0</v>
      </c>
      <c r="E84" s="718">
        <v>0</v>
      </c>
      <c r="F84" s="718">
        <v>0</v>
      </c>
      <c r="G84" s="718">
        <v>0</v>
      </c>
      <c r="H84" s="719">
        <v>0</v>
      </c>
      <c r="I84" s="720">
        <v>0</v>
      </c>
      <c r="J84" s="721">
        <v>0</v>
      </c>
      <c r="K84" s="721">
        <v>0</v>
      </c>
      <c r="L84" s="721">
        <v>0</v>
      </c>
      <c r="M84" s="722">
        <v>0</v>
      </c>
      <c r="N84" s="679"/>
      <c r="O84" s="406">
        <v>0</v>
      </c>
      <c r="P84" s="407">
        <v>0</v>
      </c>
      <c r="Q84" s="408">
        <v>0</v>
      </c>
      <c r="R84" s="409"/>
      <c r="S84" s="406">
        <v>0</v>
      </c>
      <c r="T84" s="1305" t="s">
        <v>814</v>
      </c>
    </row>
    <row r="85" spans="2:20" ht="14.25">
      <c r="B85" s="1493"/>
      <c r="C85" s="702" t="s">
        <v>650</v>
      </c>
      <c r="D85" s="718">
        <v>0</v>
      </c>
      <c r="E85" s="718">
        <v>0</v>
      </c>
      <c r="F85" s="718">
        <v>0</v>
      </c>
      <c r="G85" s="718">
        <v>0</v>
      </c>
      <c r="H85" s="719">
        <v>0</v>
      </c>
      <c r="I85" s="720">
        <v>0.05</v>
      </c>
      <c r="J85" s="721">
        <v>0.05</v>
      </c>
      <c r="K85" s="721">
        <v>0.05</v>
      </c>
      <c r="L85" s="721">
        <v>0.05</v>
      </c>
      <c r="M85" s="722">
        <v>0.05</v>
      </c>
      <c r="N85" s="679"/>
      <c r="O85" s="406">
        <v>0</v>
      </c>
      <c r="P85" s="407">
        <v>0</v>
      </c>
      <c r="Q85" s="408">
        <v>0</v>
      </c>
      <c r="R85" s="409"/>
      <c r="S85" s="406">
        <v>0.25</v>
      </c>
      <c r="T85" s="1305" t="s">
        <v>814</v>
      </c>
    </row>
    <row r="86" spans="2:20" ht="14.25">
      <c r="B86" s="1493"/>
      <c r="C86" s="702" t="s">
        <v>788</v>
      </c>
      <c r="D86" s="718">
        <v>0</v>
      </c>
      <c r="E86" s="718">
        <v>0</v>
      </c>
      <c r="F86" s="718">
        <v>0.1</v>
      </c>
      <c r="G86" s="718">
        <v>0.1</v>
      </c>
      <c r="H86" s="719">
        <v>0.1</v>
      </c>
      <c r="I86" s="720">
        <v>0.1</v>
      </c>
      <c r="J86" s="721">
        <v>0.1</v>
      </c>
      <c r="K86" s="721">
        <v>0.1</v>
      </c>
      <c r="L86" s="721">
        <v>0.1</v>
      </c>
      <c r="M86" s="722">
        <v>0.1</v>
      </c>
      <c r="N86" s="679"/>
      <c r="O86" s="406">
        <v>0.1</v>
      </c>
      <c r="P86" s="407">
        <v>0.2</v>
      </c>
      <c r="Q86" s="408">
        <v>0.3</v>
      </c>
      <c r="R86" s="409"/>
      <c r="S86" s="406">
        <v>0.5</v>
      </c>
      <c r="T86" s="1305">
        <v>0.6666666666666664</v>
      </c>
    </row>
    <row r="87" spans="2:20" ht="14.25">
      <c r="B87" s="1493"/>
      <c r="C87" s="698" t="s">
        <v>509</v>
      </c>
      <c r="D87" s="718">
        <v>0</v>
      </c>
      <c r="E87" s="718">
        <v>0</v>
      </c>
      <c r="F87" s="718">
        <v>0.1</v>
      </c>
      <c r="G87" s="718">
        <v>0.1</v>
      </c>
      <c r="H87" s="719">
        <v>0.1</v>
      </c>
      <c r="I87" s="720">
        <v>0.1</v>
      </c>
      <c r="J87" s="721">
        <v>0.1</v>
      </c>
      <c r="K87" s="721">
        <v>0.1</v>
      </c>
      <c r="L87" s="721">
        <v>0.1</v>
      </c>
      <c r="M87" s="722">
        <v>0.1</v>
      </c>
      <c r="N87" s="679"/>
      <c r="O87" s="406">
        <v>0.1</v>
      </c>
      <c r="P87" s="407">
        <v>0.2</v>
      </c>
      <c r="Q87" s="408">
        <v>0.3</v>
      </c>
      <c r="R87" s="409"/>
      <c r="S87" s="406">
        <v>0.5</v>
      </c>
      <c r="T87" s="1305">
        <v>0.6666666666666664</v>
      </c>
    </row>
    <row r="88" spans="2:20" ht="14.25">
      <c r="B88" s="1493"/>
      <c r="C88" s="698" t="s">
        <v>510</v>
      </c>
      <c r="D88" s="718">
        <v>0</v>
      </c>
      <c r="E88" s="718">
        <v>0</v>
      </c>
      <c r="F88" s="718">
        <v>0</v>
      </c>
      <c r="G88" s="718">
        <v>0</v>
      </c>
      <c r="H88" s="719">
        <v>0</v>
      </c>
      <c r="I88" s="720">
        <v>0</v>
      </c>
      <c r="J88" s="721">
        <v>0</v>
      </c>
      <c r="K88" s="721">
        <v>0</v>
      </c>
      <c r="L88" s="721">
        <v>0</v>
      </c>
      <c r="M88" s="722">
        <v>0</v>
      </c>
      <c r="N88" s="679"/>
      <c r="O88" s="406">
        <v>0</v>
      </c>
      <c r="P88" s="407">
        <v>0</v>
      </c>
      <c r="Q88" s="408">
        <v>0</v>
      </c>
      <c r="R88" s="409"/>
      <c r="S88" s="406">
        <v>0</v>
      </c>
      <c r="T88" s="1305" t="s">
        <v>814</v>
      </c>
    </row>
    <row r="89" spans="2:20" ht="14.25">
      <c r="B89" s="1493" t="s">
        <v>809</v>
      </c>
      <c r="C89" s="698" t="s">
        <v>789</v>
      </c>
      <c r="D89" s="718">
        <v>0</v>
      </c>
      <c r="E89" s="718">
        <v>0</v>
      </c>
      <c r="F89" s="718">
        <v>0</v>
      </c>
      <c r="G89" s="718">
        <v>0</v>
      </c>
      <c r="H89" s="719">
        <v>0</v>
      </c>
      <c r="I89" s="720">
        <v>0</v>
      </c>
      <c r="J89" s="721">
        <v>0</v>
      </c>
      <c r="K89" s="721">
        <v>0</v>
      </c>
      <c r="L89" s="721">
        <v>0</v>
      </c>
      <c r="M89" s="722">
        <v>0</v>
      </c>
      <c r="N89" s="679"/>
      <c r="O89" s="406">
        <v>0</v>
      </c>
      <c r="P89" s="407">
        <v>0</v>
      </c>
      <c r="Q89" s="408">
        <v>0</v>
      </c>
      <c r="R89" s="409"/>
      <c r="S89" s="406">
        <v>0</v>
      </c>
      <c r="T89" s="1305" t="s">
        <v>814</v>
      </c>
    </row>
    <row r="90" spans="2:20" ht="14.25">
      <c r="B90" s="1493"/>
      <c r="C90" s="698" t="s">
        <v>520</v>
      </c>
      <c r="D90" s="718">
        <v>0</v>
      </c>
      <c r="E90" s="718">
        <v>0</v>
      </c>
      <c r="F90" s="718">
        <v>0</v>
      </c>
      <c r="G90" s="718">
        <v>0</v>
      </c>
      <c r="H90" s="719">
        <v>0</v>
      </c>
      <c r="I90" s="720">
        <v>0</v>
      </c>
      <c r="J90" s="721">
        <v>0</v>
      </c>
      <c r="K90" s="721">
        <v>0</v>
      </c>
      <c r="L90" s="721">
        <v>0</v>
      </c>
      <c r="M90" s="722">
        <v>0</v>
      </c>
      <c r="N90" s="679"/>
      <c r="O90" s="406">
        <v>0</v>
      </c>
      <c r="P90" s="407">
        <v>0</v>
      </c>
      <c r="Q90" s="408">
        <v>0</v>
      </c>
      <c r="R90" s="409"/>
      <c r="S90" s="406">
        <v>0</v>
      </c>
      <c r="T90" s="1305" t="s">
        <v>814</v>
      </c>
    </row>
    <row r="91" spans="2:20" ht="14.25">
      <c r="B91" s="1493"/>
      <c r="C91" s="698" t="s">
        <v>650</v>
      </c>
      <c r="D91" s="718">
        <v>0</v>
      </c>
      <c r="E91" s="718">
        <v>0</v>
      </c>
      <c r="F91" s="718">
        <v>0</v>
      </c>
      <c r="G91" s="718">
        <v>0</v>
      </c>
      <c r="H91" s="719">
        <v>0</v>
      </c>
      <c r="I91" s="720">
        <v>0.1</v>
      </c>
      <c r="J91" s="721">
        <v>0.1</v>
      </c>
      <c r="K91" s="721">
        <v>0.1</v>
      </c>
      <c r="L91" s="721">
        <v>0.1</v>
      </c>
      <c r="M91" s="722">
        <v>0.1</v>
      </c>
      <c r="N91" s="679"/>
      <c r="O91" s="406">
        <v>0</v>
      </c>
      <c r="P91" s="407">
        <v>0</v>
      </c>
      <c r="Q91" s="408">
        <v>0</v>
      </c>
      <c r="R91" s="409"/>
      <c r="S91" s="406">
        <v>0.5</v>
      </c>
      <c r="T91" s="1305" t="s">
        <v>814</v>
      </c>
    </row>
    <row r="92" spans="2:20" ht="14.25">
      <c r="B92" s="1493"/>
      <c r="C92" s="698" t="s">
        <v>788</v>
      </c>
      <c r="D92" s="718">
        <v>0</v>
      </c>
      <c r="E92" s="718">
        <v>0</v>
      </c>
      <c r="F92" s="718">
        <v>0</v>
      </c>
      <c r="G92" s="718">
        <v>0</v>
      </c>
      <c r="H92" s="719">
        <v>0</v>
      </c>
      <c r="I92" s="720">
        <v>0</v>
      </c>
      <c r="J92" s="721">
        <v>0</v>
      </c>
      <c r="K92" s="721">
        <v>0</v>
      </c>
      <c r="L92" s="721">
        <v>0</v>
      </c>
      <c r="M92" s="722">
        <v>0</v>
      </c>
      <c r="N92" s="679"/>
      <c r="O92" s="406">
        <v>0</v>
      </c>
      <c r="P92" s="407">
        <v>0</v>
      </c>
      <c r="Q92" s="408">
        <v>0</v>
      </c>
      <c r="R92" s="409"/>
      <c r="S92" s="406">
        <v>0</v>
      </c>
      <c r="T92" s="1305" t="s">
        <v>814</v>
      </c>
    </row>
    <row r="93" spans="2:20" ht="14.25">
      <c r="B93" s="1493"/>
      <c r="C93" s="698" t="s">
        <v>509</v>
      </c>
      <c r="D93" s="718">
        <v>0</v>
      </c>
      <c r="E93" s="718">
        <v>0</v>
      </c>
      <c r="F93" s="718">
        <v>0.2</v>
      </c>
      <c r="G93" s="718">
        <v>0.2</v>
      </c>
      <c r="H93" s="719">
        <v>0.2</v>
      </c>
      <c r="I93" s="720">
        <v>0.2</v>
      </c>
      <c r="J93" s="721">
        <v>0.2</v>
      </c>
      <c r="K93" s="721">
        <v>0.2</v>
      </c>
      <c r="L93" s="721">
        <v>0.2</v>
      </c>
      <c r="M93" s="722">
        <v>0.2</v>
      </c>
      <c r="N93" s="679"/>
      <c r="O93" s="406">
        <v>0.2</v>
      </c>
      <c r="P93" s="407">
        <v>0.4</v>
      </c>
      <c r="Q93" s="408">
        <v>0.6</v>
      </c>
      <c r="R93" s="409"/>
      <c r="S93" s="406">
        <v>1</v>
      </c>
      <c r="T93" s="1305">
        <v>0.6666666666666664</v>
      </c>
    </row>
    <row r="94" spans="2:20" ht="14.25">
      <c r="B94" s="1493"/>
      <c r="C94" s="703" t="s">
        <v>510</v>
      </c>
      <c r="D94" s="718">
        <v>0</v>
      </c>
      <c r="E94" s="718">
        <v>0</v>
      </c>
      <c r="F94" s="718">
        <v>0</v>
      </c>
      <c r="G94" s="718">
        <v>0</v>
      </c>
      <c r="H94" s="719">
        <v>0</v>
      </c>
      <c r="I94" s="720">
        <v>0</v>
      </c>
      <c r="J94" s="721">
        <v>0</v>
      </c>
      <c r="K94" s="721">
        <v>0</v>
      </c>
      <c r="L94" s="721">
        <v>0</v>
      </c>
      <c r="M94" s="722">
        <v>0</v>
      </c>
      <c r="N94" s="679"/>
      <c r="O94" s="406">
        <v>0</v>
      </c>
      <c r="P94" s="407">
        <v>0</v>
      </c>
      <c r="Q94" s="408">
        <v>0</v>
      </c>
      <c r="R94" s="409"/>
      <c r="S94" s="406">
        <v>0</v>
      </c>
      <c r="T94" s="1305" t="s">
        <v>814</v>
      </c>
    </row>
    <row r="95" spans="2:20" ht="14.25">
      <c r="B95" s="1493" t="s">
        <v>807</v>
      </c>
      <c r="C95" s="704" t="s">
        <v>789</v>
      </c>
      <c r="D95" s="718">
        <v>0</v>
      </c>
      <c r="E95" s="718">
        <v>0</v>
      </c>
      <c r="F95" s="718">
        <v>0</v>
      </c>
      <c r="G95" s="718">
        <v>0</v>
      </c>
      <c r="H95" s="719">
        <v>0</v>
      </c>
      <c r="I95" s="720">
        <v>0</v>
      </c>
      <c r="J95" s="721">
        <v>0</v>
      </c>
      <c r="K95" s="721">
        <v>0</v>
      </c>
      <c r="L95" s="721">
        <v>0</v>
      </c>
      <c r="M95" s="722">
        <v>0</v>
      </c>
      <c r="N95" s="679"/>
      <c r="O95" s="406">
        <v>0</v>
      </c>
      <c r="P95" s="407">
        <v>0</v>
      </c>
      <c r="Q95" s="408">
        <v>0</v>
      </c>
      <c r="R95" s="409"/>
      <c r="S95" s="406">
        <v>0</v>
      </c>
      <c r="T95" s="1305" t="s">
        <v>814</v>
      </c>
    </row>
    <row r="96" spans="2:20" ht="14.25">
      <c r="B96" s="1493"/>
      <c r="C96" s="698" t="s">
        <v>520</v>
      </c>
      <c r="D96" s="718">
        <v>0</v>
      </c>
      <c r="E96" s="718">
        <v>0</v>
      </c>
      <c r="F96" s="718">
        <v>0</v>
      </c>
      <c r="G96" s="718">
        <v>0</v>
      </c>
      <c r="H96" s="719">
        <v>0</v>
      </c>
      <c r="I96" s="720">
        <v>0</v>
      </c>
      <c r="J96" s="721">
        <v>0</v>
      </c>
      <c r="K96" s="721">
        <v>0</v>
      </c>
      <c r="L96" s="721">
        <v>0</v>
      </c>
      <c r="M96" s="722">
        <v>0</v>
      </c>
      <c r="N96" s="679"/>
      <c r="O96" s="406">
        <v>0</v>
      </c>
      <c r="P96" s="407">
        <v>0</v>
      </c>
      <c r="Q96" s="408">
        <v>0</v>
      </c>
      <c r="R96" s="409"/>
      <c r="S96" s="406">
        <v>0</v>
      </c>
      <c r="T96" s="1305" t="s">
        <v>814</v>
      </c>
    </row>
    <row r="97" spans="2:20" ht="14.25">
      <c r="B97" s="1493"/>
      <c r="C97" s="703" t="s">
        <v>521</v>
      </c>
      <c r="D97" s="718">
        <v>0</v>
      </c>
      <c r="E97" s="718">
        <v>0</v>
      </c>
      <c r="F97" s="718">
        <v>0</v>
      </c>
      <c r="G97" s="718">
        <v>0</v>
      </c>
      <c r="H97" s="719">
        <v>0</v>
      </c>
      <c r="I97" s="720">
        <v>0</v>
      </c>
      <c r="J97" s="721">
        <v>0</v>
      </c>
      <c r="K97" s="721">
        <v>0</v>
      </c>
      <c r="L97" s="721">
        <v>0</v>
      </c>
      <c r="M97" s="722">
        <v>0</v>
      </c>
      <c r="N97" s="679"/>
      <c r="O97" s="406">
        <v>0</v>
      </c>
      <c r="P97" s="407">
        <v>0</v>
      </c>
      <c r="Q97" s="408">
        <v>0</v>
      </c>
      <c r="R97" s="409"/>
      <c r="S97" s="406">
        <v>0</v>
      </c>
      <c r="T97" s="1305" t="s">
        <v>814</v>
      </c>
    </row>
    <row r="98" spans="2:20" ht="14.25">
      <c r="B98" s="1493"/>
      <c r="C98" s="703" t="s">
        <v>788</v>
      </c>
      <c r="D98" s="718">
        <v>0</v>
      </c>
      <c r="E98" s="718">
        <v>0</v>
      </c>
      <c r="F98" s="718">
        <v>0</v>
      </c>
      <c r="G98" s="718">
        <v>0</v>
      </c>
      <c r="H98" s="719">
        <v>0</v>
      </c>
      <c r="I98" s="720">
        <v>0</v>
      </c>
      <c r="J98" s="721">
        <v>0</v>
      </c>
      <c r="K98" s="721">
        <v>0</v>
      </c>
      <c r="L98" s="721">
        <v>0</v>
      </c>
      <c r="M98" s="722">
        <v>0</v>
      </c>
      <c r="N98" s="679"/>
      <c r="O98" s="406">
        <v>0</v>
      </c>
      <c r="P98" s="407">
        <v>0</v>
      </c>
      <c r="Q98" s="408">
        <v>0</v>
      </c>
      <c r="R98" s="409"/>
      <c r="S98" s="406">
        <v>0</v>
      </c>
      <c r="T98" s="1305" t="s">
        <v>814</v>
      </c>
    </row>
    <row r="99" spans="2:20" ht="14.25">
      <c r="B99" s="1493"/>
      <c r="C99" s="703" t="s">
        <v>509</v>
      </c>
      <c r="D99" s="718">
        <v>0</v>
      </c>
      <c r="E99" s="718">
        <v>0</v>
      </c>
      <c r="F99" s="718">
        <v>0</v>
      </c>
      <c r="G99" s="718">
        <v>0</v>
      </c>
      <c r="H99" s="719">
        <v>0</v>
      </c>
      <c r="I99" s="720">
        <v>0</v>
      </c>
      <c r="J99" s="721">
        <v>0</v>
      </c>
      <c r="K99" s="721">
        <v>0</v>
      </c>
      <c r="L99" s="721">
        <v>0</v>
      </c>
      <c r="M99" s="722">
        <v>0</v>
      </c>
      <c r="N99" s="679"/>
      <c r="O99" s="406">
        <v>0</v>
      </c>
      <c r="P99" s="407">
        <v>0</v>
      </c>
      <c r="Q99" s="408">
        <v>0</v>
      </c>
      <c r="R99" s="409"/>
      <c r="S99" s="406">
        <v>0</v>
      </c>
      <c r="T99" s="1305" t="s">
        <v>814</v>
      </c>
    </row>
    <row r="100" spans="2:20" ht="14.25">
      <c r="B100" s="1493"/>
      <c r="C100" s="703" t="s">
        <v>510</v>
      </c>
      <c r="D100" s="718">
        <v>0</v>
      </c>
      <c r="E100" s="718">
        <v>0</v>
      </c>
      <c r="F100" s="718">
        <v>0</v>
      </c>
      <c r="G100" s="718">
        <v>0</v>
      </c>
      <c r="H100" s="719">
        <v>0</v>
      </c>
      <c r="I100" s="720">
        <v>0</v>
      </c>
      <c r="J100" s="721">
        <v>0</v>
      </c>
      <c r="K100" s="721">
        <v>0</v>
      </c>
      <c r="L100" s="721">
        <v>0</v>
      </c>
      <c r="M100" s="722">
        <v>0</v>
      </c>
      <c r="N100" s="679"/>
      <c r="O100" s="406">
        <v>0</v>
      </c>
      <c r="P100" s="407">
        <v>0</v>
      </c>
      <c r="Q100" s="408">
        <v>0</v>
      </c>
      <c r="R100" s="409"/>
      <c r="S100" s="406">
        <v>0</v>
      </c>
      <c r="T100" s="1305" t="s">
        <v>814</v>
      </c>
    </row>
    <row r="101" spans="2:20" ht="15.75" thickBot="1">
      <c r="B101" s="705" t="s">
        <v>305</v>
      </c>
      <c r="C101" s="706"/>
      <c r="D101" s="739">
        <v>0</v>
      </c>
      <c r="E101" s="740">
        <v>0</v>
      </c>
      <c r="F101" s="740">
        <v>0.5</v>
      </c>
      <c r="G101" s="740">
        <v>0.5</v>
      </c>
      <c r="H101" s="741">
        <v>0.5</v>
      </c>
      <c r="I101" s="742">
        <v>0.65</v>
      </c>
      <c r="J101" s="740">
        <v>0.65</v>
      </c>
      <c r="K101" s="740">
        <v>0.65</v>
      </c>
      <c r="L101" s="740">
        <v>0.65</v>
      </c>
      <c r="M101" s="741">
        <v>0.65</v>
      </c>
      <c r="N101" s="679"/>
      <c r="O101" s="410">
        <v>0.5</v>
      </c>
      <c r="P101" s="411">
        <v>1</v>
      </c>
      <c r="Q101" s="412">
        <v>1.5</v>
      </c>
      <c r="R101" s="409"/>
      <c r="S101" s="410">
        <v>3.25</v>
      </c>
      <c r="T101" s="1318">
        <v>1.1666666666666663</v>
      </c>
    </row>
    <row r="102" spans="2:20" ht="14.25">
      <c r="B102" s="679"/>
      <c r="C102" s="679"/>
      <c r="D102" s="679"/>
      <c r="E102" s="679"/>
      <c r="F102" s="679"/>
      <c r="G102" s="679"/>
      <c r="H102" s="679"/>
      <c r="I102" s="679"/>
      <c r="J102" s="679"/>
      <c r="K102" s="679"/>
      <c r="L102" s="679"/>
      <c r="M102" s="679"/>
      <c r="N102" s="679"/>
      <c r="O102" s="679"/>
      <c r="P102" s="679"/>
      <c r="Q102" s="679"/>
      <c r="R102" s="712"/>
      <c r="S102" s="712"/>
      <c r="T102" s="712"/>
    </row>
    <row r="103" spans="2:20" ht="14.25">
      <c r="B103" s="679"/>
      <c r="C103" s="679"/>
      <c r="D103" s="679"/>
      <c r="E103" s="679"/>
      <c r="F103" s="679"/>
      <c r="G103" s="679"/>
      <c r="H103" s="679"/>
      <c r="I103" s="679"/>
      <c r="J103" s="679"/>
      <c r="K103" s="679"/>
      <c r="L103" s="679"/>
      <c r="M103" s="679"/>
      <c r="N103" s="679"/>
      <c r="O103" s="679"/>
      <c r="P103" s="679"/>
      <c r="Q103" s="679"/>
      <c r="R103" s="712"/>
      <c r="S103" s="712"/>
      <c r="T103" s="712"/>
    </row>
    <row r="104" spans="2:20" ht="15">
      <c r="B104" s="677" t="s">
        <v>306</v>
      </c>
      <c r="C104" s="679"/>
      <c r="D104" s="679"/>
      <c r="E104" s="679"/>
      <c r="F104" s="679"/>
      <c r="G104" s="679"/>
      <c r="H104" s="679"/>
      <c r="I104" s="679"/>
      <c r="J104" s="679"/>
      <c r="K104" s="679"/>
      <c r="L104" s="679"/>
      <c r="M104" s="679"/>
      <c r="N104" s="679"/>
      <c r="O104" s="679"/>
      <c r="P104" s="679"/>
      <c r="Q104" s="679"/>
      <c r="R104" s="712"/>
      <c r="S104" s="712"/>
      <c r="T104" s="712"/>
    </row>
    <row r="105" spans="2:20" ht="15" thickBot="1">
      <c r="B105" s="679"/>
      <c r="C105" s="679"/>
      <c r="D105" s="679"/>
      <c r="E105" s="679"/>
      <c r="F105" s="679"/>
      <c r="G105" s="679"/>
      <c r="H105" s="679"/>
      <c r="I105" s="679"/>
      <c r="J105" s="679"/>
      <c r="K105" s="679"/>
      <c r="L105" s="679"/>
      <c r="M105" s="679"/>
      <c r="N105" s="679"/>
      <c r="O105" s="679"/>
      <c r="P105" s="679"/>
      <c r="Q105" s="679"/>
      <c r="R105" s="712"/>
      <c r="S105" s="712"/>
      <c r="T105" s="712"/>
    </row>
    <row r="106" spans="2:20" ht="15">
      <c r="B106" s="681" t="s">
        <v>643</v>
      </c>
      <c r="C106" s="682"/>
      <c r="D106" s="684" t="s">
        <v>644</v>
      </c>
      <c r="E106" s="684"/>
      <c r="F106" s="684"/>
      <c r="G106" s="684"/>
      <c r="H106" s="685"/>
      <c r="I106" s="683" t="s">
        <v>645</v>
      </c>
      <c r="J106" s="684"/>
      <c r="K106" s="684"/>
      <c r="L106" s="684"/>
      <c r="M106" s="685"/>
      <c r="N106" s="679"/>
      <c r="O106" s="1343" t="s">
        <v>646</v>
      </c>
      <c r="P106" s="1344"/>
      <c r="Q106" s="1345"/>
      <c r="R106" s="409"/>
      <c r="S106" s="1343" t="s">
        <v>647</v>
      </c>
      <c r="T106" s="1345"/>
    </row>
    <row r="107" spans="2:20" ht="25.5">
      <c r="B107" s="686"/>
      <c r="C107" s="687"/>
      <c r="D107" s="693" t="s">
        <v>561</v>
      </c>
      <c r="E107" s="689" t="s">
        <v>562</v>
      </c>
      <c r="F107" s="689" t="s">
        <v>558</v>
      </c>
      <c r="G107" s="689" t="s">
        <v>563</v>
      </c>
      <c r="H107" s="690" t="s">
        <v>564</v>
      </c>
      <c r="I107" s="688" t="s">
        <v>648</v>
      </c>
      <c r="J107" s="689" t="s">
        <v>667</v>
      </c>
      <c r="K107" s="689" t="s">
        <v>668</v>
      </c>
      <c r="L107" s="689" t="s">
        <v>669</v>
      </c>
      <c r="M107" s="690" t="s">
        <v>307</v>
      </c>
      <c r="N107" s="679"/>
      <c r="O107" s="1346" t="s">
        <v>657</v>
      </c>
      <c r="P107" s="1347" t="s">
        <v>658</v>
      </c>
      <c r="Q107" s="1348" t="s">
        <v>810</v>
      </c>
      <c r="R107" s="409"/>
      <c r="S107" s="1346" t="s">
        <v>658</v>
      </c>
      <c r="T107" s="1348" t="s">
        <v>659</v>
      </c>
    </row>
    <row r="108" spans="2:20" ht="18">
      <c r="B108" s="691"/>
      <c r="C108" s="692"/>
      <c r="D108" s="693" t="s">
        <v>543</v>
      </c>
      <c r="E108" s="689" t="s">
        <v>543</v>
      </c>
      <c r="F108" s="689" t="s">
        <v>543</v>
      </c>
      <c r="G108" s="689" t="s">
        <v>543</v>
      </c>
      <c r="H108" s="690" t="s">
        <v>543</v>
      </c>
      <c r="I108" s="688" t="s">
        <v>543</v>
      </c>
      <c r="J108" s="689" t="s">
        <v>543</v>
      </c>
      <c r="K108" s="689" t="s">
        <v>543</v>
      </c>
      <c r="L108" s="689" t="s">
        <v>543</v>
      </c>
      <c r="M108" s="690" t="s">
        <v>543</v>
      </c>
      <c r="N108" s="679"/>
      <c r="O108" s="565"/>
      <c r="P108" s="566"/>
      <c r="Q108" s="567"/>
      <c r="R108" s="409"/>
      <c r="S108" s="514"/>
      <c r="T108" s="516"/>
    </row>
    <row r="109" spans="2:20" ht="14.25">
      <c r="B109" s="1490" t="s">
        <v>308</v>
      </c>
      <c r="C109" s="743" t="s">
        <v>309</v>
      </c>
      <c r="D109" s="713">
        <v>0.5</v>
      </c>
      <c r="E109" s="716">
        <v>0.6</v>
      </c>
      <c r="F109" s="716">
        <v>0.7</v>
      </c>
      <c r="G109" s="716">
        <v>0.6323806630602459</v>
      </c>
      <c r="H109" s="717">
        <v>0.580033988907392</v>
      </c>
      <c r="I109" s="715">
        <v>0.35</v>
      </c>
      <c r="J109" s="716">
        <v>0.43</v>
      </c>
      <c r="K109" s="716">
        <v>0.52</v>
      </c>
      <c r="L109" s="716">
        <v>0.52</v>
      </c>
      <c r="M109" s="717">
        <v>0.52</v>
      </c>
      <c r="N109" s="679"/>
      <c r="O109" s="406">
        <v>1.8</v>
      </c>
      <c r="P109" s="407">
        <v>1.212414651967638</v>
      </c>
      <c r="Q109" s="408">
        <v>3.012414651967638</v>
      </c>
      <c r="R109" s="409"/>
      <c r="S109" s="406">
        <v>2.34</v>
      </c>
      <c r="T109" s="1391">
        <v>-0.22321450718228072</v>
      </c>
    </row>
    <row r="110" spans="2:20" ht="14.25">
      <c r="B110" s="1494"/>
      <c r="C110" s="743" t="s">
        <v>310</v>
      </c>
      <c r="D110" s="718">
        <v>0</v>
      </c>
      <c r="E110" s="721">
        <v>0</v>
      </c>
      <c r="F110" s="721">
        <v>0</v>
      </c>
      <c r="G110" s="721">
        <v>0</v>
      </c>
      <c r="H110" s="722">
        <v>0</v>
      </c>
      <c r="I110" s="720">
        <v>0</v>
      </c>
      <c r="J110" s="721">
        <v>0</v>
      </c>
      <c r="K110" s="721">
        <v>0</v>
      </c>
      <c r="L110" s="721">
        <v>0</v>
      </c>
      <c r="M110" s="722">
        <v>0</v>
      </c>
      <c r="N110" s="679"/>
      <c r="O110" s="406">
        <v>0</v>
      </c>
      <c r="P110" s="407">
        <v>0</v>
      </c>
      <c r="Q110" s="408">
        <v>0</v>
      </c>
      <c r="R110" s="409"/>
      <c r="S110" s="406">
        <v>0</v>
      </c>
      <c r="T110" s="1391" t="s">
        <v>814</v>
      </c>
    </row>
    <row r="111" spans="2:20" ht="14.25">
      <c r="B111" s="1494"/>
      <c r="C111" s="743" t="s">
        <v>311</v>
      </c>
      <c r="D111" s="718">
        <v>0</v>
      </c>
      <c r="E111" s="721">
        <v>0</v>
      </c>
      <c r="F111" s="721">
        <v>0</v>
      </c>
      <c r="G111" s="721">
        <v>0</v>
      </c>
      <c r="H111" s="722">
        <v>0</v>
      </c>
      <c r="I111" s="720">
        <v>0</v>
      </c>
      <c r="J111" s="721">
        <v>0</v>
      </c>
      <c r="K111" s="721">
        <v>0</v>
      </c>
      <c r="L111" s="721">
        <v>0</v>
      </c>
      <c r="M111" s="722">
        <v>0</v>
      </c>
      <c r="N111" s="679"/>
      <c r="O111" s="406"/>
      <c r="P111" s="407"/>
      <c r="Q111" s="408"/>
      <c r="R111" s="409"/>
      <c r="S111" s="406"/>
      <c r="T111" s="1391"/>
    </row>
    <row r="112" spans="2:20" ht="14.25">
      <c r="B112" s="1494"/>
      <c r="C112" s="743" t="s">
        <v>312</v>
      </c>
      <c r="D112" s="718">
        <v>0</v>
      </c>
      <c r="E112" s="721">
        <v>0</v>
      </c>
      <c r="F112" s="721">
        <v>0</v>
      </c>
      <c r="G112" s="721">
        <v>0</v>
      </c>
      <c r="H112" s="722">
        <v>0</v>
      </c>
      <c r="I112" s="720">
        <v>0</v>
      </c>
      <c r="J112" s="721">
        <v>0</v>
      </c>
      <c r="K112" s="721">
        <v>0</v>
      </c>
      <c r="L112" s="721">
        <v>0</v>
      </c>
      <c r="M112" s="722">
        <v>0</v>
      </c>
      <c r="N112" s="679"/>
      <c r="O112" s="406"/>
      <c r="P112" s="407"/>
      <c r="Q112" s="408"/>
      <c r="R112" s="409"/>
      <c r="S112" s="406"/>
      <c r="T112" s="1391"/>
    </row>
    <row r="113" spans="2:20" ht="14.25">
      <c r="B113" s="1494"/>
      <c r="C113" s="743" t="s">
        <v>313</v>
      </c>
      <c r="D113" s="718">
        <v>1.2</v>
      </c>
      <c r="E113" s="721">
        <v>1.1</v>
      </c>
      <c r="F113" s="721">
        <v>1.3</v>
      </c>
      <c r="G113" s="721">
        <v>0.8250264279660162</v>
      </c>
      <c r="H113" s="722">
        <v>0.8306667436436987</v>
      </c>
      <c r="I113" s="720">
        <v>1.26</v>
      </c>
      <c r="J113" s="721">
        <v>1.33</v>
      </c>
      <c r="K113" s="721">
        <v>1.42</v>
      </c>
      <c r="L113" s="721">
        <v>1.42</v>
      </c>
      <c r="M113" s="722">
        <v>1.42</v>
      </c>
      <c r="N113" s="679"/>
      <c r="O113" s="406"/>
      <c r="P113" s="407"/>
      <c r="Q113" s="408"/>
      <c r="R113" s="409"/>
      <c r="S113" s="406"/>
      <c r="T113" s="1391"/>
    </row>
    <row r="114" spans="2:20" ht="14.25">
      <c r="B114" s="1495"/>
      <c r="C114" s="744" t="s">
        <v>402</v>
      </c>
      <c r="D114" s="745">
        <v>1.7</v>
      </c>
      <c r="E114" s="745">
        <v>1.7</v>
      </c>
      <c r="F114" s="745">
        <v>2</v>
      </c>
      <c r="G114" s="745">
        <v>1.457407091026262</v>
      </c>
      <c r="H114" s="746">
        <v>1.4107007325510907</v>
      </c>
      <c r="I114" s="747">
        <v>1.61</v>
      </c>
      <c r="J114" s="745">
        <v>1.76</v>
      </c>
      <c r="K114" s="745">
        <v>1.94</v>
      </c>
      <c r="L114" s="745">
        <v>1.94</v>
      </c>
      <c r="M114" s="746">
        <v>1.94</v>
      </c>
      <c r="N114" s="679"/>
      <c r="O114" s="406">
        <v>5.4</v>
      </c>
      <c r="P114" s="407">
        <v>2.8681078235773527</v>
      </c>
      <c r="Q114" s="408">
        <v>8.268107823577353</v>
      </c>
      <c r="R114" s="409"/>
      <c r="S114" s="406">
        <v>9.19</v>
      </c>
      <c r="T114" s="1391">
        <v>0.11149977674381281</v>
      </c>
    </row>
    <row r="115" spans="2:20" ht="14.25">
      <c r="B115" s="1490" t="s">
        <v>803</v>
      </c>
      <c r="C115" s="743" t="s">
        <v>309</v>
      </c>
      <c r="D115" s="718">
        <v>1.3</v>
      </c>
      <c r="E115" s="721">
        <v>4.3</v>
      </c>
      <c r="F115" s="721">
        <v>3.9</v>
      </c>
      <c r="G115" s="721">
        <v>2.6698190245093163</v>
      </c>
      <c r="H115" s="722">
        <v>2.3452064907468695</v>
      </c>
      <c r="I115" s="720">
        <v>3.9</v>
      </c>
      <c r="J115" s="721">
        <v>4.43</v>
      </c>
      <c r="K115" s="721">
        <v>5.04</v>
      </c>
      <c r="L115" s="721">
        <v>5.04</v>
      </c>
      <c r="M115" s="722">
        <v>5.04</v>
      </c>
      <c r="N115" s="679"/>
      <c r="O115" s="406">
        <v>9.5</v>
      </c>
      <c r="P115" s="407">
        <v>5.015025515256186</v>
      </c>
      <c r="Q115" s="408">
        <v>14.515025515256186</v>
      </c>
      <c r="R115" s="409"/>
      <c r="S115" s="406">
        <v>23.45</v>
      </c>
      <c r="T115" s="1391">
        <v>0.6155672599646901</v>
      </c>
    </row>
    <row r="116" spans="2:20" ht="14.25">
      <c r="B116" s="1494"/>
      <c r="C116" s="743" t="s">
        <v>310</v>
      </c>
      <c r="D116" s="718">
        <v>0</v>
      </c>
      <c r="E116" s="721">
        <v>0</v>
      </c>
      <c r="F116" s="721">
        <v>0</v>
      </c>
      <c r="G116" s="721">
        <v>0</v>
      </c>
      <c r="H116" s="722">
        <v>0</v>
      </c>
      <c r="I116" s="720">
        <v>0</v>
      </c>
      <c r="J116" s="721">
        <v>0</v>
      </c>
      <c r="K116" s="721">
        <v>0</v>
      </c>
      <c r="L116" s="721">
        <v>0</v>
      </c>
      <c r="M116" s="722">
        <v>0</v>
      </c>
      <c r="N116" s="679"/>
      <c r="O116" s="406">
        <v>0</v>
      </c>
      <c r="P116" s="407">
        <v>0</v>
      </c>
      <c r="Q116" s="408">
        <v>0</v>
      </c>
      <c r="R116" s="409"/>
      <c r="S116" s="406">
        <v>0</v>
      </c>
      <c r="T116" s="1391" t="s">
        <v>814</v>
      </c>
    </row>
    <row r="117" spans="2:20" ht="14.25">
      <c r="B117" s="1494"/>
      <c r="C117" s="743" t="s">
        <v>311</v>
      </c>
      <c r="D117" s="718">
        <v>0</v>
      </c>
      <c r="E117" s="721">
        <v>0</v>
      </c>
      <c r="F117" s="721">
        <v>0</v>
      </c>
      <c r="G117" s="721">
        <v>0</v>
      </c>
      <c r="H117" s="722">
        <v>0</v>
      </c>
      <c r="I117" s="720">
        <v>0</v>
      </c>
      <c r="J117" s="721">
        <v>0</v>
      </c>
      <c r="K117" s="721">
        <v>0</v>
      </c>
      <c r="L117" s="721">
        <v>0</v>
      </c>
      <c r="M117" s="722">
        <v>0</v>
      </c>
      <c r="N117" s="679"/>
      <c r="O117" s="406"/>
      <c r="P117" s="407"/>
      <c r="Q117" s="408"/>
      <c r="R117" s="409"/>
      <c r="S117" s="406"/>
      <c r="T117" s="1391"/>
    </row>
    <row r="118" spans="2:20" ht="14.25">
      <c r="B118" s="1494"/>
      <c r="C118" s="743" t="s">
        <v>312</v>
      </c>
      <c r="D118" s="718">
        <v>0</v>
      </c>
      <c r="E118" s="721">
        <v>0</v>
      </c>
      <c r="F118" s="721">
        <v>0</v>
      </c>
      <c r="G118" s="721">
        <v>0</v>
      </c>
      <c r="H118" s="722">
        <v>0</v>
      </c>
      <c r="I118" s="720">
        <v>0</v>
      </c>
      <c r="J118" s="721">
        <v>0</v>
      </c>
      <c r="K118" s="721">
        <v>0</v>
      </c>
      <c r="L118" s="721">
        <v>0</v>
      </c>
      <c r="M118" s="722">
        <v>0</v>
      </c>
      <c r="N118" s="679"/>
      <c r="O118" s="406"/>
      <c r="P118" s="407"/>
      <c r="Q118" s="408"/>
      <c r="R118" s="409"/>
      <c r="S118" s="406"/>
      <c r="T118" s="1391"/>
    </row>
    <row r="119" spans="2:20" ht="14.25">
      <c r="B119" s="1494"/>
      <c r="C119" s="743" t="s">
        <v>313</v>
      </c>
      <c r="D119" s="718">
        <v>0.6</v>
      </c>
      <c r="E119" s="721">
        <v>0.9</v>
      </c>
      <c r="F119" s="721">
        <v>1.1</v>
      </c>
      <c r="G119" s="721">
        <v>0.7548782418318498</v>
      </c>
      <c r="H119" s="722">
        <v>0.8717368168988078</v>
      </c>
      <c r="I119" s="720">
        <v>1.25</v>
      </c>
      <c r="J119" s="721">
        <v>2.67</v>
      </c>
      <c r="K119" s="721">
        <v>4.03</v>
      </c>
      <c r="L119" s="721">
        <v>4.03</v>
      </c>
      <c r="M119" s="722">
        <v>4.03</v>
      </c>
      <c r="N119" s="679"/>
      <c r="O119" s="406"/>
      <c r="P119" s="407"/>
      <c r="Q119" s="408"/>
      <c r="R119" s="409"/>
      <c r="S119" s="406"/>
      <c r="T119" s="1391"/>
    </row>
    <row r="120" spans="2:20" ht="14.25">
      <c r="B120" s="1495"/>
      <c r="C120" s="744" t="s">
        <v>402</v>
      </c>
      <c r="D120" s="745">
        <v>1.9</v>
      </c>
      <c r="E120" s="745">
        <v>5.2</v>
      </c>
      <c r="F120" s="745">
        <v>5</v>
      </c>
      <c r="G120" s="745">
        <v>3.424697266341166</v>
      </c>
      <c r="H120" s="746">
        <v>3.2169433076456775</v>
      </c>
      <c r="I120" s="747">
        <v>5.15</v>
      </c>
      <c r="J120" s="745">
        <v>7.1</v>
      </c>
      <c r="K120" s="745">
        <v>9.07</v>
      </c>
      <c r="L120" s="745">
        <v>9.07</v>
      </c>
      <c r="M120" s="746">
        <v>9.07</v>
      </c>
      <c r="N120" s="679"/>
      <c r="O120" s="406">
        <v>12.1</v>
      </c>
      <c r="P120" s="407">
        <v>6.641640573986844</v>
      </c>
      <c r="Q120" s="408">
        <v>18.741640573986842</v>
      </c>
      <c r="R120" s="409"/>
      <c r="S120" s="406">
        <v>39.46</v>
      </c>
      <c r="T120" s="1391">
        <v>1.1054720286744788</v>
      </c>
    </row>
    <row r="121" spans="2:20" ht="14.25">
      <c r="B121" s="1489" t="s">
        <v>403</v>
      </c>
      <c r="C121" s="743" t="s">
        <v>309</v>
      </c>
      <c r="D121" s="718">
        <v>0</v>
      </c>
      <c r="E121" s="721">
        <v>0.1</v>
      </c>
      <c r="F121" s="721">
        <v>0.4</v>
      </c>
      <c r="G121" s="721">
        <v>1.6908853821892336</v>
      </c>
      <c r="H121" s="722">
        <v>1.1394312631289236</v>
      </c>
      <c r="I121" s="720">
        <v>0.24</v>
      </c>
      <c r="J121" s="721">
        <v>0.38</v>
      </c>
      <c r="K121" s="721">
        <v>0.52</v>
      </c>
      <c r="L121" s="721">
        <v>0.52</v>
      </c>
      <c r="M121" s="722">
        <v>0.52</v>
      </c>
      <c r="N121" s="679"/>
      <c r="O121" s="406">
        <v>0.5</v>
      </c>
      <c r="P121" s="407">
        <v>2.830316645318157</v>
      </c>
      <c r="Q121" s="408">
        <v>3.3303166453181574</v>
      </c>
      <c r="R121" s="409"/>
      <c r="S121" s="406">
        <v>2.18</v>
      </c>
      <c r="T121" s="1391">
        <v>-0.3454075896762854</v>
      </c>
    </row>
    <row r="122" spans="2:20" ht="14.25">
      <c r="B122" s="1490"/>
      <c r="C122" s="743" t="s">
        <v>310</v>
      </c>
      <c r="D122" s="718">
        <v>0</v>
      </c>
      <c r="E122" s="721">
        <v>0</v>
      </c>
      <c r="F122" s="721">
        <v>0</v>
      </c>
      <c r="G122" s="721">
        <v>0</v>
      </c>
      <c r="H122" s="722">
        <v>0</v>
      </c>
      <c r="I122" s="720">
        <v>0</v>
      </c>
      <c r="J122" s="721">
        <v>0</v>
      </c>
      <c r="K122" s="721">
        <v>0</v>
      </c>
      <c r="L122" s="721">
        <v>0</v>
      </c>
      <c r="M122" s="722">
        <v>0</v>
      </c>
      <c r="N122" s="679"/>
      <c r="O122" s="406">
        <v>0</v>
      </c>
      <c r="P122" s="407">
        <v>0</v>
      </c>
      <c r="Q122" s="408">
        <v>0</v>
      </c>
      <c r="R122" s="409"/>
      <c r="S122" s="406">
        <v>0</v>
      </c>
      <c r="T122" s="1391" t="s">
        <v>814</v>
      </c>
    </row>
    <row r="123" spans="2:20" ht="14.25">
      <c r="B123" s="1490"/>
      <c r="C123" s="743" t="s">
        <v>311</v>
      </c>
      <c r="D123" s="718">
        <v>0</v>
      </c>
      <c r="E123" s="721">
        <v>0</v>
      </c>
      <c r="F123" s="721">
        <v>0</v>
      </c>
      <c r="G123" s="721">
        <v>0</v>
      </c>
      <c r="H123" s="722">
        <v>0</v>
      </c>
      <c r="I123" s="720">
        <v>0</v>
      </c>
      <c r="J123" s="721">
        <v>0</v>
      </c>
      <c r="K123" s="721">
        <v>0</v>
      </c>
      <c r="L123" s="721">
        <v>0</v>
      </c>
      <c r="M123" s="722">
        <v>0</v>
      </c>
      <c r="N123" s="679"/>
      <c r="O123" s="406"/>
      <c r="P123" s="407"/>
      <c r="Q123" s="408"/>
      <c r="R123" s="409"/>
      <c r="S123" s="406"/>
      <c r="T123" s="1391"/>
    </row>
    <row r="124" spans="2:20" ht="14.25">
      <c r="B124" s="1490"/>
      <c r="C124" s="743" t="s">
        <v>313</v>
      </c>
      <c r="D124" s="718">
        <v>0.3</v>
      </c>
      <c r="E124" s="721">
        <v>0.3</v>
      </c>
      <c r="F124" s="721">
        <v>0.5</v>
      </c>
      <c r="G124" s="721">
        <v>0.3863385176642893</v>
      </c>
      <c r="H124" s="722">
        <v>0.06950320089326152</v>
      </c>
      <c r="I124" s="720">
        <v>0.27</v>
      </c>
      <c r="J124" s="721">
        <v>0.53</v>
      </c>
      <c r="K124" s="721">
        <v>0.8</v>
      </c>
      <c r="L124" s="721">
        <v>0.8</v>
      </c>
      <c r="M124" s="722">
        <v>0.8</v>
      </c>
      <c r="N124" s="679"/>
      <c r="O124" s="406"/>
      <c r="P124" s="407"/>
      <c r="Q124" s="408"/>
      <c r="R124" s="409"/>
      <c r="S124" s="406"/>
      <c r="T124" s="1391"/>
    </row>
    <row r="125" spans="2:20" ht="14.25">
      <c r="B125" s="1491" t="s">
        <v>404</v>
      </c>
      <c r="C125" s="743" t="s">
        <v>405</v>
      </c>
      <c r="D125" s="718">
        <v>0</v>
      </c>
      <c r="E125" s="721">
        <v>0</v>
      </c>
      <c r="F125" s="721">
        <v>0</v>
      </c>
      <c r="G125" s="721">
        <v>0</v>
      </c>
      <c r="H125" s="722">
        <v>0</v>
      </c>
      <c r="I125" s="720">
        <v>0</v>
      </c>
      <c r="J125" s="721">
        <v>0</v>
      </c>
      <c r="K125" s="721">
        <v>0</v>
      </c>
      <c r="L125" s="721">
        <v>0</v>
      </c>
      <c r="M125" s="722">
        <v>0</v>
      </c>
      <c r="N125" s="679"/>
      <c r="O125" s="406">
        <v>0</v>
      </c>
      <c r="P125" s="407">
        <v>0</v>
      </c>
      <c r="Q125" s="408">
        <v>0</v>
      </c>
      <c r="R125" s="409"/>
      <c r="S125" s="406">
        <v>0</v>
      </c>
      <c r="T125" s="1391" t="s">
        <v>814</v>
      </c>
    </row>
    <row r="126" spans="2:20" ht="14.25">
      <c r="B126" s="1492"/>
      <c r="C126" s="748" t="s">
        <v>406</v>
      </c>
      <c r="D126" s="718">
        <v>0</v>
      </c>
      <c r="E126" s="721">
        <v>0</v>
      </c>
      <c r="F126" s="721">
        <v>0</v>
      </c>
      <c r="G126" s="721">
        <v>0</v>
      </c>
      <c r="H126" s="722">
        <v>0</v>
      </c>
      <c r="I126" s="720">
        <v>0.12</v>
      </c>
      <c r="J126" s="721">
        <v>0.11</v>
      </c>
      <c r="K126" s="721">
        <v>0.1</v>
      </c>
      <c r="L126" s="721">
        <v>0.1</v>
      </c>
      <c r="M126" s="722">
        <v>0.1</v>
      </c>
      <c r="N126" s="679"/>
      <c r="O126" s="406">
        <v>0</v>
      </c>
      <c r="P126" s="407">
        <v>0</v>
      </c>
      <c r="Q126" s="408">
        <v>0</v>
      </c>
      <c r="R126" s="409"/>
      <c r="S126" s="406">
        <v>0.53</v>
      </c>
      <c r="T126" s="1391" t="s">
        <v>814</v>
      </c>
    </row>
    <row r="127" spans="2:20" ht="14.25">
      <c r="B127" s="1492"/>
      <c r="C127" s="743" t="s">
        <v>311</v>
      </c>
      <c r="D127" s="718">
        <v>0</v>
      </c>
      <c r="E127" s="718">
        <v>0</v>
      </c>
      <c r="F127" s="718">
        <v>0</v>
      </c>
      <c r="G127" s="718">
        <v>0</v>
      </c>
      <c r="H127" s="719">
        <v>0</v>
      </c>
      <c r="I127" s="720">
        <v>0</v>
      </c>
      <c r="J127" s="718">
        <v>0</v>
      </c>
      <c r="K127" s="718">
        <v>0</v>
      </c>
      <c r="L127" s="718">
        <v>0</v>
      </c>
      <c r="M127" s="719">
        <v>0</v>
      </c>
      <c r="N127" s="679"/>
      <c r="O127" s="406"/>
      <c r="P127" s="407"/>
      <c r="Q127" s="408"/>
      <c r="R127" s="409"/>
      <c r="S127" s="406"/>
      <c r="T127" s="1391"/>
    </row>
    <row r="128" spans="2:20" ht="14.25">
      <c r="B128" s="1492"/>
      <c r="C128" s="743" t="s">
        <v>407</v>
      </c>
      <c r="D128" s="718">
        <v>0</v>
      </c>
      <c r="E128" s="718">
        <v>0</v>
      </c>
      <c r="F128" s="718">
        <v>0</v>
      </c>
      <c r="G128" s="718">
        <v>0</v>
      </c>
      <c r="H128" s="719">
        <v>0</v>
      </c>
      <c r="I128" s="720">
        <v>0.03</v>
      </c>
      <c r="J128" s="718">
        <v>0.06</v>
      </c>
      <c r="K128" s="718">
        <v>0.09</v>
      </c>
      <c r="L128" s="718">
        <v>0.09</v>
      </c>
      <c r="M128" s="719">
        <v>0.1</v>
      </c>
      <c r="N128" s="679"/>
      <c r="O128" s="406"/>
      <c r="P128" s="407"/>
      <c r="Q128" s="408"/>
      <c r="R128" s="409"/>
      <c r="S128" s="406"/>
      <c r="T128" s="1391"/>
    </row>
    <row r="129" spans="2:20" ht="15">
      <c r="B129" s="749" t="s">
        <v>408</v>
      </c>
      <c r="C129" s="744" t="s">
        <v>402</v>
      </c>
      <c r="D129" s="745">
        <v>0.3</v>
      </c>
      <c r="E129" s="745">
        <v>0.4</v>
      </c>
      <c r="F129" s="745">
        <v>0.9</v>
      </c>
      <c r="G129" s="745">
        <v>2.077223899853523</v>
      </c>
      <c r="H129" s="746">
        <v>1.208934464022185</v>
      </c>
      <c r="I129" s="747">
        <v>0.66</v>
      </c>
      <c r="J129" s="745">
        <v>1.08</v>
      </c>
      <c r="K129" s="745">
        <v>1.51</v>
      </c>
      <c r="L129" s="745">
        <v>1.51</v>
      </c>
      <c r="M129" s="746">
        <v>1.52</v>
      </c>
      <c r="N129" s="679"/>
      <c r="O129" s="406">
        <v>1.6</v>
      </c>
      <c r="P129" s="407">
        <v>3.2861583638757077</v>
      </c>
      <c r="Q129" s="408">
        <v>4.886158363875708</v>
      </c>
      <c r="R129" s="409"/>
      <c r="S129" s="406">
        <v>6.28</v>
      </c>
      <c r="T129" s="1391">
        <v>0.2852632952769659</v>
      </c>
    </row>
    <row r="130" spans="2:20" ht="14.25">
      <c r="B130" s="1491" t="s">
        <v>409</v>
      </c>
      <c r="C130" s="743" t="s">
        <v>309</v>
      </c>
      <c r="D130" s="718">
        <v>0</v>
      </c>
      <c r="E130" s="721">
        <v>0</v>
      </c>
      <c r="F130" s="721">
        <v>0</v>
      </c>
      <c r="G130" s="721">
        <v>0</v>
      </c>
      <c r="H130" s="722">
        <v>0</v>
      </c>
      <c r="I130" s="720">
        <v>0</v>
      </c>
      <c r="J130" s="721">
        <v>0</v>
      </c>
      <c r="K130" s="721">
        <v>0</v>
      </c>
      <c r="L130" s="721">
        <v>0</v>
      </c>
      <c r="M130" s="722">
        <v>0</v>
      </c>
      <c r="N130" s="679"/>
      <c r="O130" s="406">
        <v>0</v>
      </c>
      <c r="P130" s="407">
        <v>0</v>
      </c>
      <c r="Q130" s="408">
        <v>0</v>
      </c>
      <c r="R130" s="409"/>
      <c r="S130" s="406">
        <v>0</v>
      </c>
      <c r="T130" s="1391" t="s">
        <v>814</v>
      </c>
    </row>
    <row r="131" spans="2:20" ht="14.25">
      <c r="B131" s="1492"/>
      <c r="C131" s="743" t="s">
        <v>310</v>
      </c>
      <c r="D131" s="718">
        <v>0</v>
      </c>
      <c r="E131" s="721">
        <v>0</v>
      </c>
      <c r="F131" s="721">
        <v>0</v>
      </c>
      <c r="G131" s="721">
        <v>0</v>
      </c>
      <c r="H131" s="722">
        <v>0</v>
      </c>
      <c r="I131" s="720">
        <v>0</v>
      </c>
      <c r="J131" s="721">
        <v>0</v>
      </c>
      <c r="K131" s="721">
        <v>0</v>
      </c>
      <c r="L131" s="721">
        <v>0</v>
      </c>
      <c r="M131" s="722">
        <v>0</v>
      </c>
      <c r="N131" s="679"/>
      <c r="O131" s="406">
        <v>0</v>
      </c>
      <c r="P131" s="407">
        <v>0</v>
      </c>
      <c r="Q131" s="408">
        <v>0</v>
      </c>
      <c r="R131" s="409"/>
      <c r="S131" s="406">
        <v>0</v>
      </c>
      <c r="T131" s="1391" t="s">
        <v>814</v>
      </c>
    </row>
    <row r="132" spans="2:20" ht="14.25">
      <c r="B132" s="1492"/>
      <c r="C132" s="743" t="s">
        <v>311</v>
      </c>
      <c r="D132" s="718">
        <v>0</v>
      </c>
      <c r="E132" s="721">
        <v>0</v>
      </c>
      <c r="F132" s="721">
        <v>0</v>
      </c>
      <c r="G132" s="721">
        <v>0</v>
      </c>
      <c r="H132" s="722">
        <v>0</v>
      </c>
      <c r="I132" s="720">
        <v>0</v>
      </c>
      <c r="J132" s="721">
        <v>0</v>
      </c>
      <c r="K132" s="721">
        <v>0</v>
      </c>
      <c r="L132" s="721">
        <v>0</v>
      </c>
      <c r="M132" s="722">
        <v>0</v>
      </c>
      <c r="N132" s="679"/>
      <c r="O132" s="406"/>
      <c r="P132" s="407"/>
      <c r="Q132" s="408"/>
      <c r="R132" s="409"/>
      <c r="S132" s="406"/>
      <c r="T132" s="1391"/>
    </row>
    <row r="133" spans="2:20" ht="14.25">
      <c r="B133" s="1492"/>
      <c r="C133" s="743" t="s">
        <v>313</v>
      </c>
      <c r="D133" s="718">
        <v>0</v>
      </c>
      <c r="E133" s="721">
        <v>0</v>
      </c>
      <c r="F133" s="721">
        <v>0</v>
      </c>
      <c r="G133" s="721">
        <v>0</v>
      </c>
      <c r="H133" s="722">
        <v>0</v>
      </c>
      <c r="I133" s="720">
        <v>0.04</v>
      </c>
      <c r="J133" s="721">
        <v>0.06</v>
      </c>
      <c r="K133" s="721">
        <v>0.08</v>
      </c>
      <c r="L133" s="721">
        <v>0.08</v>
      </c>
      <c r="M133" s="722">
        <v>0.08</v>
      </c>
      <c r="N133" s="679"/>
      <c r="O133" s="406"/>
      <c r="P133" s="407"/>
      <c r="Q133" s="408"/>
      <c r="R133" s="409"/>
      <c r="S133" s="406"/>
      <c r="T133" s="1391"/>
    </row>
    <row r="134" spans="2:20" ht="14.25">
      <c r="B134" s="1491" t="s">
        <v>410</v>
      </c>
      <c r="C134" s="743" t="s">
        <v>405</v>
      </c>
      <c r="D134" s="718">
        <v>0</v>
      </c>
      <c r="E134" s="721">
        <v>0</v>
      </c>
      <c r="F134" s="721">
        <v>0</v>
      </c>
      <c r="G134" s="721">
        <v>0</v>
      </c>
      <c r="H134" s="722">
        <v>0</v>
      </c>
      <c r="I134" s="720">
        <v>0.27</v>
      </c>
      <c r="J134" s="721">
        <v>0.29</v>
      </c>
      <c r="K134" s="721">
        <v>0.31</v>
      </c>
      <c r="L134" s="721">
        <v>0.31</v>
      </c>
      <c r="M134" s="722">
        <v>0.31</v>
      </c>
      <c r="N134" s="679"/>
      <c r="O134" s="406"/>
      <c r="P134" s="407"/>
      <c r="Q134" s="408"/>
      <c r="R134" s="409"/>
      <c r="S134" s="406"/>
      <c r="T134" s="1391"/>
    </row>
    <row r="135" spans="2:20" ht="14.25">
      <c r="B135" s="1492"/>
      <c r="C135" s="748" t="s">
        <v>406</v>
      </c>
      <c r="D135" s="718">
        <v>0.5</v>
      </c>
      <c r="E135" s="721">
        <v>1.3</v>
      </c>
      <c r="F135" s="721">
        <v>1.1</v>
      </c>
      <c r="G135" s="721">
        <v>0.8857517234254437</v>
      </c>
      <c r="H135" s="722">
        <v>0.3338259800479379</v>
      </c>
      <c r="I135" s="720">
        <v>0.2</v>
      </c>
      <c r="J135" s="721">
        <v>0.33</v>
      </c>
      <c r="K135" s="721">
        <v>0.46</v>
      </c>
      <c r="L135" s="721">
        <v>0.46</v>
      </c>
      <c r="M135" s="722">
        <v>0.46</v>
      </c>
      <c r="N135" s="679"/>
      <c r="O135" s="406">
        <v>2.9</v>
      </c>
      <c r="P135" s="407">
        <v>1.2195777034733817</v>
      </c>
      <c r="Q135" s="408">
        <v>4.119577703473382</v>
      </c>
      <c r="R135" s="409"/>
      <c r="S135" s="406">
        <v>1.91</v>
      </c>
      <c r="T135" s="1391">
        <v>-0.536360244306206</v>
      </c>
    </row>
    <row r="136" spans="2:20" ht="14.25">
      <c r="B136" s="1492"/>
      <c r="C136" s="743" t="s">
        <v>311</v>
      </c>
      <c r="D136" s="718">
        <v>0</v>
      </c>
      <c r="E136" s="721">
        <v>0</v>
      </c>
      <c r="F136" s="721">
        <v>0</v>
      </c>
      <c r="G136" s="721">
        <v>0</v>
      </c>
      <c r="H136" s="722">
        <v>0</v>
      </c>
      <c r="I136" s="720">
        <v>0</v>
      </c>
      <c r="J136" s="721">
        <v>0</v>
      </c>
      <c r="K136" s="721">
        <v>0</v>
      </c>
      <c r="L136" s="721">
        <v>0</v>
      </c>
      <c r="M136" s="722">
        <v>0</v>
      </c>
      <c r="N136" s="679"/>
      <c r="O136" s="406"/>
      <c r="P136" s="407"/>
      <c r="Q136" s="408"/>
      <c r="R136" s="409"/>
      <c r="S136" s="406"/>
      <c r="T136" s="1391"/>
    </row>
    <row r="137" spans="2:20" ht="14.25">
      <c r="B137" s="1492"/>
      <c r="C137" s="743" t="s">
        <v>407</v>
      </c>
      <c r="D137" s="718">
        <v>0</v>
      </c>
      <c r="E137" s="721">
        <v>0</v>
      </c>
      <c r="F137" s="721">
        <v>0</v>
      </c>
      <c r="G137" s="721">
        <v>0</v>
      </c>
      <c r="H137" s="722">
        <v>0</v>
      </c>
      <c r="I137" s="720">
        <v>0.09</v>
      </c>
      <c r="J137" s="721">
        <v>0.09</v>
      </c>
      <c r="K137" s="721">
        <v>0.11</v>
      </c>
      <c r="L137" s="721">
        <v>0.13</v>
      </c>
      <c r="M137" s="722">
        <v>0.15</v>
      </c>
      <c r="N137" s="679"/>
      <c r="O137" s="406">
        <v>0</v>
      </c>
      <c r="P137" s="407">
        <v>0</v>
      </c>
      <c r="Q137" s="408">
        <v>0</v>
      </c>
      <c r="R137" s="409"/>
      <c r="S137" s="406">
        <v>0.57</v>
      </c>
      <c r="T137" s="1391" t="s">
        <v>814</v>
      </c>
    </row>
    <row r="138" spans="2:20" ht="15" thickBot="1">
      <c r="B138" s="750" t="s">
        <v>315</v>
      </c>
      <c r="C138" s="751" t="s">
        <v>402</v>
      </c>
      <c r="D138" s="752">
        <v>0.5</v>
      </c>
      <c r="E138" s="752">
        <v>1.3</v>
      </c>
      <c r="F138" s="752">
        <v>1.1</v>
      </c>
      <c r="G138" s="752">
        <v>0.8857517234254437</v>
      </c>
      <c r="H138" s="753">
        <v>0.3338259800479379</v>
      </c>
      <c r="I138" s="754">
        <v>0.6</v>
      </c>
      <c r="J138" s="752">
        <v>0.77</v>
      </c>
      <c r="K138" s="752">
        <v>0.96</v>
      </c>
      <c r="L138" s="752">
        <v>0.98</v>
      </c>
      <c r="M138" s="753">
        <v>1</v>
      </c>
      <c r="N138" s="679"/>
      <c r="O138" s="410">
        <v>2.9</v>
      </c>
      <c r="P138" s="411">
        <v>1.2195777034733817</v>
      </c>
      <c r="Q138" s="412">
        <v>4.119577703473382</v>
      </c>
      <c r="R138" s="409"/>
      <c r="S138" s="410">
        <v>4.31</v>
      </c>
      <c r="T138" s="1392">
        <v>0.046223741905891354</v>
      </c>
    </row>
    <row r="139" spans="2:20" ht="14.25">
      <c r="B139" s="679"/>
      <c r="C139" s="679"/>
      <c r="D139" s="679"/>
      <c r="E139" s="679"/>
      <c r="F139" s="679"/>
      <c r="G139" s="679"/>
      <c r="H139" s="679"/>
      <c r="I139" s="679"/>
      <c r="J139" s="679"/>
      <c r="K139" s="679"/>
      <c r="L139" s="679"/>
      <c r="M139" s="679"/>
      <c r="N139" s="679"/>
      <c r="O139" s="679"/>
      <c r="P139" s="679"/>
      <c r="Q139" s="679"/>
      <c r="R139" s="712"/>
      <c r="S139" s="712"/>
      <c r="T139" s="712"/>
    </row>
  </sheetData>
  <sheetProtection/>
  <mergeCells count="24">
    <mergeCell ref="B23:B28"/>
    <mergeCell ref="B29:B34"/>
    <mergeCell ref="B43:B44"/>
    <mergeCell ref="B45:B46"/>
    <mergeCell ref="B10:B11"/>
    <mergeCell ref="B12:B13"/>
    <mergeCell ref="B14:B16"/>
    <mergeCell ref="B17:B22"/>
    <mergeCell ref="B76:B77"/>
    <mergeCell ref="B78:B79"/>
    <mergeCell ref="B80:B82"/>
    <mergeCell ref="B83:B88"/>
    <mergeCell ref="B47:B49"/>
    <mergeCell ref="B50:B55"/>
    <mergeCell ref="B56:B61"/>
    <mergeCell ref="B62:B67"/>
    <mergeCell ref="B121:B124"/>
    <mergeCell ref="B125:B128"/>
    <mergeCell ref="B130:B133"/>
    <mergeCell ref="B134:B137"/>
    <mergeCell ref="B89:B94"/>
    <mergeCell ref="B95:B100"/>
    <mergeCell ref="B109:B114"/>
    <mergeCell ref="B115:B120"/>
  </mergeCells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55"/>
  <sheetViews>
    <sheetView zoomScale="90" zoomScaleNormal="90" zoomScalePageLayoutView="0" workbookViewId="0" topLeftCell="A1">
      <selection activeCell="G10" sqref="G10:J155"/>
    </sheetView>
  </sheetViews>
  <sheetFormatPr defaultColWidth="8.8515625" defaultRowHeight="12.75"/>
  <cols>
    <col min="1" max="4" width="8.8515625" style="0" customWidth="1"/>
    <col min="5" max="5" width="31.00390625" style="0" bestFit="1" customWidth="1"/>
    <col min="6" max="7" width="8.8515625" style="0" customWidth="1"/>
    <col min="8" max="8" width="17.8515625" style="0" customWidth="1"/>
    <col min="9" max="9" width="8.8515625" style="0" customWidth="1"/>
    <col min="10" max="10" width="15.421875" style="0" customWidth="1"/>
  </cols>
  <sheetData>
    <row r="1" spans="1:6" ht="12.75">
      <c r="A1" s="388" t="s">
        <v>499</v>
      </c>
      <c r="F1" s="390" t="s">
        <v>775</v>
      </c>
    </row>
    <row r="2" ht="12.75">
      <c r="A2" s="388"/>
    </row>
    <row r="3" ht="12.75">
      <c r="A3" s="388" t="s">
        <v>199</v>
      </c>
    </row>
    <row r="4" ht="12.75">
      <c r="A4" s="388"/>
    </row>
    <row r="6" ht="13.5" thickBot="1"/>
    <row r="7" spans="2:10" ht="12.75">
      <c r="B7" s="755"/>
      <c r="C7" s="756"/>
      <c r="D7" s="756"/>
      <c r="E7" s="756" t="s">
        <v>324</v>
      </c>
      <c r="F7" s="757" t="s">
        <v>560</v>
      </c>
      <c r="G7" s="758" t="s">
        <v>325</v>
      </c>
      <c r="H7" s="759"/>
      <c r="I7" s="758" t="s">
        <v>326</v>
      </c>
      <c r="J7" s="759"/>
    </row>
    <row r="8" spans="2:10" ht="51">
      <c r="B8" s="760"/>
      <c r="C8" s="761"/>
      <c r="D8" s="761"/>
      <c r="E8" s="761"/>
      <c r="F8" s="762"/>
      <c r="G8" s="763" t="s">
        <v>327</v>
      </c>
      <c r="H8" s="764" t="s">
        <v>337</v>
      </c>
      <c r="I8" s="763" t="s">
        <v>327</v>
      </c>
      <c r="J8" s="764" t="s">
        <v>337</v>
      </c>
    </row>
    <row r="9" spans="2:10" ht="13.5" thickBot="1">
      <c r="B9" s="765"/>
      <c r="C9" s="766"/>
      <c r="D9" s="766"/>
      <c r="E9" s="766"/>
      <c r="F9" s="767"/>
      <c r="G9" s="768" t="s">
        <v>338</v>
      </c>
      <c r="H9" s="769" t="s">
        <v>338</v>
      </c>
      <c r="I9" s="768" t="s">
        <v>338</v>
      </c>
      <c r="J9" s="769" t="s">
        <v>338</v>
      </c>
    </row>
    <row r="10" spans="2:10" ht="12.75">
      <c r="B10" s="770"/>
      <c r="C10" s="771" t="s">
        <v>174</v>
      </c>
      <c r="D10" s="771"/>
      <c r="E10" s="772"/>
      <c r="F10" s="773"/>
      <c r="G10" s="1393"/>
      <c r="H10" s="1394"/>
      <c r="I10" s="1393"/>
      <c r="J10" s="1394"/>
    </row>
    <row r="11" spans="2:10" ht="12.75">
      <c r="B11" s="770"/>
      <c r="C11" s="772"/>
      <c r="D11" s="774" t="s">
        <v>789</v>
      </c>
      <c r="E11" s="772"/>
      <c r="F11" s="775"/>
      <c r="G11" s="1395"/>
      <c r="H11" s="1396"/>
      <c r="I11" s="1395"/>
      <c r="J11" s="1396"/>
    </row>
    <row r="12" spans="2:10" ht="12.75">
      <c r="B12" s="776"/>
      <c r="C12" s="772"/>
      <c r="D12" s="772"/>
      <c r="E12" s="772" t="s">
        <v>175</v>
      </c>
      <c r="F12" s="777" t="s">
        <v>718</v>
      </c>
      <c r="G12" s="778"/>
      <c r="H12" s="779"/>
      <c r="I12" s="778">
        <v>14.06</v>
      </c>
      <c r="J12" s="779">
        <v>19.99</v>
      </c>
    </row>
    <row r="13" spans="2:10" ht="12.75">
      <c r="B13" s="776"/>
      <c r="C13" s="772"/>
      <c r="D13" s="772"/>
      <c r="E13" s="772" t="s">
        <v>176</v>
      </c>
      <c r="F13" s="777" t="s">
        <v>429</v>
      </c>
      <c r="G13" s="778"/>
      <c r="H13" s="779"/>
      <c r="I13" s="778">
        <v>0.2</v>
      </c>
      <c r="J13" s="779">
        <v>0.32</v>
      </c>
    </row>
    <row r="14" spans="2:10" ht="12.75">
      <c r="B14" s="776"/>
      <c r="C14" s="772"/>
      <c r="D14" s="772"/>
      <c r="E14" s="772"/>
      <c r="F14" s="777"/>
      <c r="G14" s="1397"/>
      <c r="H14" s="1398"/>
      <c r="I14" s="1397"/>
      <c r="J14" s="1398"/>
    </row>
    <row r="15" spans="2:10" ht="12.75">
      <c r="B15" s="776"/>
      <c r="C15" s="772"/>
      <c r="D15" s="774" t="s">
        <v>430</v>
      </c>
      <c r="E15" s="772"/>
      <c r="F15" s="777"/>
      <c r="G15" s="1397"/>
      <c r="H15" s="1398"/>
      <c r="I15" s="1397"/>
      <c r="J15" s="1398"/>
    </row>
    <row r="16" spans="2:10" ht="12.75">
      <c r="B16" s="776"/>
      <c r="C16" s="772"/>
      <c r="D16" s="772"/>
      <c r="E16" s="772" t="s">
        <v>431</v>
      </c>
      <c r="F16" s="777" t="s">
        <v>429</v>
      </c>
      <c r="G16" s="778"/>
      <c r="H16" s="779"/>
      <c r="I16" s="778">
        <v>1.43</v>
      </c>
      <c r="J16" s="779">
        <v>1.92</v>
      </c>
    </row>
    <row r="17" spans="2:10" ht="12.75">
      <c r="B17" s="776"/>
      <c r="C17" s="772"/>
      <c r="D17" s="772"/>
      <c r="E17" s="772"/>
      <c r="F17" s="777"/>
      <c r="G17" s="1397"/>
      <c r="H17" s="1398"/>
      <c r="I17" s="1397"/>
      <c r="J17" s="1398"/>
    </row>
    <row r="18" spans="2:10" ht="12.75">
      <c r="B18" s="776"/>
      <c r="C18" s="772"/>
      <c r="D18" s="774" t="s">
        <v>520</v>
      </c>
      <c r="E18" s="772"/>
      <c r="F18" s="777"/>
      <c r="G18" s="1397"/>
      <c r="H18" s="1398"/>
      <c r="I18" s="1397"/>
      <c r="J18" s="1398"/>
    </row>
    <row r="19" spans="2:10" ht="12.75">
      <c r="B19" s="776"/>
      <c r="C19" s="772"/>
      <c r="D19" s="774"/>
      <c r="E19" s="772" t="s">
        <v>459</v>
      </c>
      <c r="F19" s="777" t="s">
        <v>718</v>
      </c>
      <c r="G19" s="778"/>
      <c r="H19" s="779"/>
      <c r="I19" s="778"/>
      <c r="J19" s="779"/>
    </row>
    <row r="20" spans="2:10" ht="12.75">
      <c r="B20" s="776"/>
      <c r="C20" s="772"/>
      <c r="D20" s="774"/>
      <c r="E20" s="772" t="s">
        <v>317</v>
      </c>
      <c r="F20" s="777" t="s">
        <v>718</v>
      </c>
      <c r="G20" s="778">
        <v>33.4</v>
      </c>
      <c r="H20" s="779">
        <v>40.08</v>
      </c>
      <c r="I20" s="778">
        <v>67.22</v>
      </c>
      <c r="J20" s="779">
        <v>67.22</v>
      </c>
    </row>
    <row r="21" spans="2:10" ht="12.75">
      <c r="B21" s="776"/>
      <c r="C21" s="772"/>
      <c r="D21" s="774"/>
      <c r="E21" s="772" t="s">
        <v>318</v>
      </c>
      <c r="F21" s="777" t="s">
        <v>718</v>
      </c>
      <c r="G21" s="778"/>
      <c r="H21" s="779"/>
      <c r="I21" s="778">
        <v>67.22</v>
      </c>
      <c r="J21" s="779">
        <v>75.91</v>
      </c>
    </row>
    <row r="22" spans="2:10" ht="12.75">
      <c r="B22" s="776"/>
      <c r="C22" s="772"/>
      <c r="D22" s="774"/>
      <c r="E22" s="772" t="s">
        <v>319</v>
      </c>
      <c r="F22" s="777" t="s">
        <v>429</v>
      </c>
      <c r="G22" s="778">
        <v>0.93</v>
      </c>
      <c r="H22" s="779">
        <v>1.116</v>
      </c>
      <c r="I22" s="778">
        <v>0.6</v>
      </c>
      <c r="J22" s="779">
        <v>0.71</v>
      </c>
    </row>
    <row r="23" spans="2:10" ht="12.75">
      <c r="B23" s="776"/>
      <c r="C23" s="772"/>
      <c r="D23" s="772"/>
      <c r="E23" s="772"/>
      <c r="F23" s="777"/>
      <c r="G23" s="1397"/>
      <c r="H23" s="1398"/>
      <c r="I23" s="1397"/>
      <c r="J23" s="1398"/>
    </row>
    <row r="24" spans="2:10" ht="12.75">
      <c r="B24" s="776"/>
      <c r="C24" s="772"/>
      <c r="D24" s="774" t="s">
        <v>320</v>
      </c>
      <c r="E24" s="772"/>
      <c r="F24" s="777"/>
      <c r="G24" s="1397"/>
      <c r="H24" s="1398"/>
      <c r="I24" s="1397"/>
      <c r="J24" s="1398"/>
    </row>
    <row r="25" spans="2:10" ht="12.75">
      <c r="B25" s="776"/>
      <c r="C25" s="772"/>
      <c r="D25" s="774"/>
      <c r="E25" s="772" t="s">
        <v>321</v>
      </c>
      <c r="F25" s="777" t="s">
        <v>429</v>
      </c>
      <c r="G25" s="778">
        <v>2.22</v>
      </c>
      <c r="H25" s="779">
        <v>2.664</v>
      </c>
      <c r="I25" s="778">
        <v>6.41</v>
      </c>
      <c r="J25" s="779">
        <v>8.06</v>
      </c>
    </row>
    <row r="26" spans="2:10" ht="12.75">
      <c r="B26" s="776"/>
      <c r="C26" s="772"/>
      <c r="D26" s="774"/>
      <c r="E26" s="772" t="s">
        <v>322</v>
      </c>
      <c r="F26" s="777" t="s">
        <v>429</v>
      </c>
      <c r="G26" s="778"/>
      <c r="H26" s="779"/>
      <c r="I26" s="778">
        <v>6.78</v>
      </c>
      <c r="J26" s="779">
        <v>8.47</v>
      </c>
    </row>
    <row r="27" spans="2:10" ht="12.75">
      <c r="B27" s="776"/>
      <c r="C27" s="772"/>
      <c r="D27" s="774"/>
      <c r="E27" s="772" t="s">
        <v>443</v>
      </c>
      <c r="F27" s="777" t="s">
        <v>429</v>
      </c>
      <c r="G27" s="778"/>
      <c r="H27" s="779"/>
      <c r="I27" s="778">
        <v>8.37</v>
      </c>
      <c r="J27" s="779">
        <v>10.53</v>
      </c>
    </row>
    <row r="28" spans="2:10" ht="12.75">
      <c r="B28" s="776"/>
      <c r="C28" s="772"/>
      <c r="D28" s="774"/>
      <c r="E28" s="772" t="s">
        <v>444</v>
      </c>
      <c r="F28" s="777" t="s">
        <v>429</v>
      </c>
      <c r="G28" s="778"/>
      <c r="H28" s="779"/>
      <c r="I28" s="778"/>
      <c r="J28" s="779"/>
    </row>
    <row r="29" spans="2:10" ht="12.75">
      <c r="B29" s="776"/>
      <c r="C29" s="772"/>
      <c r="D29" s="774"/>
      <c r="E29" s="772" t="s">
        <v>570</v>
      </c>
      <c r="F29" s="777" t="s">
        <v>429</v>
      </c>
      <c r="G29" s="1399"/>
      <c r="H29" s="1400"/>
      <c r="I29" s="1399"/>
      <c r="J29" s="1400"/>
    </row>
    <row r="30" spans="2:10" ht="12.75">
      <c r="B30" s="776"/>
      <c r="C30" s="772"/>
      <c r="D30" s="774"/>
      <c r="E30" s="772" t="s">
        <v>571</v>
      </c>
      <c r="F30" s="777" t="s">
        <v>429</v>
      </c>
      <c r="G30" s="1399"/>
      <c r="H30" s="1400"/>
      <c r="I30" s="1399"/>
      <c r="J30" s="1400"/>
    </row>
    <row r="31" spans="2:10" ht="13.5" thickBot="1">
      <c r="B31" s="765"/>
      <c r="C31" s="766"/>
      <c r="D31" s="766"/>
      <c r="E31" s="766"/>
      <c r="F31" s="780"/>
      <c r="G31" s="1401"/>
      <c r="H31" s="1402"/>
      <c r="I31" s="1401"/>
      <c r="J31" s="1402"/>
    </row>
    <row r="32" spans="2:10" ht="12.75">
      <c r="B32" s="781"/>
      <c r="C32" s="782" t="s">
        <v>572</v>
      </c>
      <c r="D32" s="782"/>
      <c r="E32" s="783"/>
      <c r="F32" s="784"/>
      <c r="G32" s="1397"/>
      <c r="H32" s="1398"/>
      <c r="I32" s="1397"/>
      <c r="J32" s="1398"/>
    </row>
    <row r="33" spans="2:10" ht="12.75">
      <c r="B33" s="776"/>
      <c r="C33" s="772"/>
      <c r="D33" s="774" t="s">
        <v>789</v>
      </c>
      <c r="E33" s="772"/>
      <c r="F33" s="784"/>
      <c r="G33" s="1397"/>
      <c r="H33" s="1398"/>
      <c r="I33" s="1397"/>
      <c r="J33" s="1398"/>
    </row>
    <row r="34" spans="2:10" ht="12.75">
      <c r="B34" s="776"/>
      <c r="C34" s="772"/>
      <c r="D34" s="774"/>
      <c r="E34" s="772" t="s">
        <v>573</v>
      </c>
      <c r="F34" s="777" t="s">
        <v>718</v>
      </c>
      <c r="G34" s="778">
        <v>35.26</v>
      </c>
      <c r="H34" s="779">
        <v>42.312</v>
      </c>
      <c r="I34" s="778">
        <v>18.35</v>
      </c>
      <c r="J34" s="779">
        <v>20.82</v>
      </c>
    </row>
    <row r="35" spans="2:10" ht="12.75">
      <c r="B35" s="776"/>
      <c r="C35" s="772"/>
      <c r="D35" s="774"/>
      <c r="E35" s="772" t="s">
        <v>574</v>
      </c>
      <c r="F35" s="777" t="s">
        <v>718</v>
      </c>
      <c r="G35" s="778"/>
      <c r="H35" s="779"/>
      <c r="I35" s="778"/>
      <c r="J35" s="779"/>
    </row>
    <row r="36" spans="2:10" ht="12.75">
      <c r="B36" s="776"/>
      <c r="C36" s="772"/>
      <c r="D36" s="772"/>
      <c r="E36" s="772" t="s">
        <v>575</v>
      </c>
      <c r="F36" s="777" t="s">
        <v>718</v>
      </c>
      <c r="G36" s="778"/>
      <c r="H36" s="779"/>
      <c r="I36" s="778"/>
      <c r="J36" s="779"/>
    </row>
    <row r="37" spans="2:10" ht="12.75">
      <c r="B37" s="776"/>
      <c r="C37" s="772"/>
      <c r="D37" s="772"/>
      <c r="E37" s="772" t="s">
        <v>332</v>
      </c>
      <c r="F37" s="777" t="s">
        <v>718</v>
      </c>
      <c r="G37" s="778"/>
      <c r="H37" s="779"/>
      <c r="I37" s="778"/>
      <c r="J37" s="779"/>
    </row>
    <row r="38" spans="2:10" ht="12.75">
      <c r="B38" s="776"/>
      <c r="C38" s="772"/>
      <c r="D38" s="772"/>
      <c r="E38" s="772"/>
      <c r="F38" s="777"/>
      <c r="G38" s="1397"/>
      <c r="H38" s="1398"/>
      <c r="I38" s="1397"/>
      <c r="J38" s="1398"/>
    </row>
    <row r="39" spans="2:10" ht="12.75">
      <c r="B39" s="776"/>
      <c r="C39" s="772"/>
      <c r="D39" s="774" t="s">
        <v>430</v>
      </c>
      <c r="E39" s="772"/>
      <c r="F39" s="777"/>
      <c r="G39" s="1397"/>
      <c r="H39" s="1398"/>
      <c r="I39" s="1397"/>
      <c r="J39" s="1398"/>
    </row>
    <row r="40" spans="2:10" ht="12.75">
      <c r="B40" s="776"/>
      <c r="C40" s="772"/>
      <c r="D40" s="783"/>
      <c r="E40" s="772" t="s">
        <v>453</v>
      </c>
      <c r="F40" s="777" t="s">
        <v>429</v>
      </c>
      <c r="G40" s="778"/>
      <c r="H40" s="779"/>
      <c r="I40" s="778">
        <v>1.52</v>
      </c>
      <c r="J40" s="779">
        <v>2.05</v>
      </c>
    </row>
    <row r="41" spans="2:10" ht="12.75">
      <c r="B41" s="776"/>
      <c r="C41" s="772"/>
      <c r="D41" s="774"/>
      <c r="E41" s="772" t="s">
        <v>454</v>
      </c>
      <c r="F41" s="777" t="s">
        <v>429</v>
      </c>
      <c r="G41" s="778"/>
      <c r="H41" s="779"/>
      <c r="I41" s="778"/>
      <c r="J41" s="779"/>
    </row>
    <row r="42" spans="2:10" ht="12.75">
      <c r="B42" s="776"/>
      <c r="C42" s="772"/>
      <c r="D42" s="772"/>
      <c r="E42" s="772"/>
      <c r="F42" s="777"/>
      <c r="G42" s="1397"/>
      <c r="H42" s="1398"/>
      <c r="I42" s="1397"/>
      <c r="J42" s="1398"/>
    </row>
    <row r="43" spans="2:10" ht="12.75">
      <c r="B43" s="776"/>
      <c r="C43" s="772"/>
      <c r="D43" s="774" t="s">
        <v>455</v>
      </c>
      <c r="E43" s="772"/>
      <c r="F43" s="777"/>
      <c r="G43" s="1397"/>
      <c r="H43" s="1398"/>
      <c r="I43" s="1397"/>
      <c r="J43" s="1398"/>
    </row>
    <row r="44" spans="2:10" ht="12.75">
      <c r="B44" s="776"/>
      <c r="C44" s="772"/>
      <c r="D44" s="774"/>
      <c r="E44" s="772" t="s">
        <v>456</v>
      </c>
      <c r="F44" s="777" t="s">
        <v>718</v>
      </c>
      <c r="G44" s="778">
        <v>32.92</v>
      </c>
      <c r="H44" s="779">
        <v>39.504</v>
      </c>
      <c r="I44" s="778">
        <v>73.02</v>
      </c>
      <c r="J44" s="779">
        <v>84.36</v>
      </c>
    </row>
    <row r="45" spans="2:10" ht="12.75">
      <c r="B45" s="776"/>
      <c r="C45" s="772"/>
      <c r="D45" s="774"/>
      <c r="E45" s="772" t="s">
        <v>457</v>
      </c>
      <c r="F45" s="777" t="s">
        <v>718</v>
      </c>
      <c r="G45" s="778"/>
      <c r="H45" s="779"/>
      <c r="I45" s="778"/>
      <c r="J45" s="779"/>
    </row>
    <row r="46" spans="2:10" ht="12.75">
      <c r="B46" s="776"/>
      <c r="C46" s="772"/>
      <c r="D46" s="774"/>
      <c r="E46" s="772"/>
      <c r="F46" s="777"/>
      <c r="G46" s="1397"/>
      <c r="H46" s="1398"/>
      <c r="I46" s="1397"/>
      <c r="J46" s="1398"/>
    </row>
    <row r="47" spans="2:10" ht="12.75">
      <c r="B47" s="776"/>
      <c r="C47" s="772"/>
      <c r="D47" s="774" t="s">
        <v>597</v>
      </c>
      <c r="E47" s="772"/>
      <c r="F47" s="777"/>
      <c r="G47" s="1397"/>
      <c r="H47" s="1398"/>
      <c r="I47" s="1397"/>
      <c r="J47" s="1398"/>
    </row>
    <row r="48" spans="2:10" ht="12.75">
      <c r="B48" s="776"/>
      <c r="C48" s="772"/>
      <c r="D48" s="774"/>
      <c r="E48" s="772" t="s">
        <v>598</v>
      </c>
      <c r="F48" s="777" t="s">
        <v>718</v>
      </c>
      <c r="G48" s="778"/>
      <c r="H48" s="779"/>
      <c r="I48" s="778">
        <v>471.36</v>
      </c>
      <c r="J48" s="779">
        <v>535.69</v>
      </c>
    </row>
    <row r="49" spans="2:10" ht="12.75">
      <c r="B49" s="776"/>
      <c r="C49" s="772"/>
      <c r="D49" s="774"/>
      <c r="E49" s="772"/>
      <c r="F49" s="777"/>
      <c r="G49" s="1397"/>
      <c r="H49" s="1398"/>
      <c r="I49" s="1397"/>
      <c r="J49" s="1398"/>
    </row>
    <row r="50" spans="2:10" ht="12.75">
      <c r="B50" s="776"/>
      <c r="C50" s="772"/>
      <c r="D50" s="774" t="s">
        <v>320</v>
      </c>
      <c r="E50" s="772"/>
      <c r="F50" s="777"/>
      <c r="G50" s="1397"/>
      <c r="H50" s="1398"/>
      <c r="I50" s="1397"/>
      <c r="J50" s="1398"/>
    </row>
    <row r="51" spans="2:10" ht="12.75">
      <c r="B51" s="776"/>
      <c r="C51" s="772"/>
      <c r="D51" s="774"/>
      <c r="E51" s="772" t="s">
        <v>599</v>
      </c>
      <c r="F51" s="777" t="s">
        <v>429</v>
      </c>
      <c r="G51" s="778">
        <v>7.13</v>
      </c>
      <c r="H51" s="779">
        <v>8.556</v>
      </c>
      <c r="I51" s="778">
        <v>7.17</v>
      </c>
      <c r="J51" s="779">
        <v>8.31</v>
      </c>
    </row>
    <row r="52" spans="2:10" ht="12.75">
      <c r="B52" s="776"/>
      <c r="C52" s="772"/>
      <c r="D52" s="774"/>
      <c r="E52" s="772" t="s">
        <v>609</v>
      </c>
      <c r="F52" s="777" t="s">
        <v>429</v>
      </c>
      <c r="G52" s="778">
        <v>20.49</v>
      </c>
      <c r="H52" s="779">
        <v>24.587999999999997</v>
      </c>
      <c r="I52" s="778">
        <v>21.37</v>
      </c>
      <c r="J52" s="779">
        <v>24.52</v>
      </c>
    </row>
    <row r="53" spans="2:10" ht="12.75">
      <c r="B53" s="776"/>
      <c r="C53" s="772"/>
      <c r="D53" s="774"/>
      <c r="E53" s="772" t="s">
        <v>610</v>
      </c>
      <c r="F53" s="777" t="s">
        <v>429</v>
      </c>
      <c r="G53" s="778">
        <v>6.01</v>
      </c>
      <c r="H53" s="779">
        <v>7.212</v>
      </c>
      <c r="I53" s="778">
        <v>6.05</v>
      </c>
      <c r="J53" s="779">
        <v>7.06</v>
      </c>
    </row>
    <row r="54" spans="2:10" ht="12.75">
      <c r="B54" s="776"/>
      <c r="C54" s="772"/>
      <c r="D54" s="774"/>
      <c r="E54" s="772" t="s">
        <v>611</v>
      </c>
      <c r="F54" s="777" t="s">
        <v>429</v>
      </c>
      <c r="G54" s="778">
        <v>6.71</v>
      </c>
      <c r="H54" s="779">
        <v>8.052</v>
      </c>
      <c r="I54" s="778">
        <v>8.17</v>
      </c>
      <c r="J54" s="779">
        <v>10.15</v>
      </c>
    </row>
    <row r="55" spans="2:10" ht="12.75">
      <c r="B55" s="776"/>
      <c r="C55" s="772"/>
      <c r="D55" s="774"/>
      <c r="E55" s="772" t="s">
        <v>468</v>
      </c>
      <c r="F55" s="777" t="s">
        <v>429</v>
      </c>
      <c r="G55" s="778">
        <v>6.99</v>
      </c>
      <c r="H55" s="779">
        <v>8.388</v>
      </c>
      <c r="I55" s="778">
        <v>10</v>
      </c>
      <c r="J55" s="779">
        <v>12.28</v>
      </c>
    </row>
    <row r="56" spans="2:10" ht="12.75">
      <c r="B56" s="776"/>
      <c r="C56" s="772"/>
      <c r="D56" s="774"/>
      <c r="E56" s="772" t="s">
        <v>469</v>
      </c>
      <c r="F56" s="777" t="s">
        <v>429</v>
      </c>
      <c r="G56" s="1399"/>
      <c r="H56" s="1400"/>
      <c r="I56" s="1399"/>
      <c r="J56" s="1400"/>
    </row>
    <row r="57" spans="2:10" ht="12.75">
      <c r="B57" s="776"/>
      <c r="C57" s="772"/>
      <c r="D57" s="774"/>
      <c r="E57" s="772" t="s">
        <v>601</v>
      </c>
      <c r="F57" s="777" t="s">
        <v>429</v>
      </c>
      <c r="G57" s="1399"/>
      <c r="H57" s="1400"/>
      <c r="I57" s="1399"/>
      <c r="J57" s="1400"/>
    </row>
    <row r="58" spans="2:10" ht="12.75">
      <c r="B58" s="776"/>
      <c r="C58" s="772"/>
      <c r="D58" s="772"/>
      <c r="E58" s="772" t="s">
        <v>346</v>
      </c>
      <c r="F58" s="777" t="s">
        <v>429</v>
      </c>
      <c r="G58" s="778"/>
      <c r="H58" s="779"/>
      <c r="I58" s="778"/>
      <c r="J58" s="779"/>
    </row>
    <row r="59" spans="2:10" ht="12.75">
      <c r="B59" s="776"/>
      <c r="C59" s="772"/>
      <c r="D59" s="772"/>
      <c r="E59" s="772" t="s">
        <v>216</v>
      </c>
      <c r="F59" s="777" t="s">
        <v>429</v>
      </c>
      <c r="G59" s="778"/>
      <c r="H59" s="779"/>
      <c r="I59" s="778"/>
      <c r="J59" s="779"/>
    </row>
    <row r="60" spans="2:10" ht="12.75">
      <c r="B60" s="776"/>
      <c r="C60" s="772"/>
      <c r="D60" s="774"/>
      <c r="E60" s="772" t="s">
        <v>217</v>
      </c>
      <c r="F60" s="777" t="s">
        <v>429</v>
      </c>
      <c r="G60" s="778"/>
      <c r="H60" s="779"/>
      <c r="I60" s="778"/>
      <c r="J60" s="779"/>
    </row>
    <row r="61" spans="2:10" ht="12.75">
      <c r="B61" s="776"/>
      <c r="C61" s="772"/>
      <c r="D61" s="774"/>
      <c r="E61" s="772" t="s">
        <v>218</v>
      </c>
      <c r="F61" s="777" t="s">
        <v>429</v>
      </c>
      <c r="G61" s="778"/>
      <c r="H61" s="779"/>
      <c r="I61" s="778"/>
      <c r="J61" s="779"/>
    </row>
    <row r="62" spans="2:10" ht="12.75">
      <c r="B62" s="776"/>
      <c r="C62" s="772"/>
      <c r="D62" s="774"/>
      <c r="E62" s="772" t="s">
        <v>221</v>
      </c>
      <c r="F62" s="777" t="s">
        <v>429</v>
      </c>
      <c r="G62" s="778"/>
      <c r="H62" s="779"/>
      <c r="I62" s="778"/>
      <c r="J62" s="779"/>
    </row>
    <row r="63" spans="2:10" ht="12.75">
      <c r="B63" s="776"/>
      <c r="C63" s="772"/>
      <c r="D63" s="774"/>
      <c r="E63" s="772" t="s">
        <v>349</v>
      </c>
      <c r="F63" s="777" t="s">
        <v>429</v>
      </c>
      <c r="G63" s="1399"/>
      <c r="H63" s="1400"/>
      <c r="I63" s="1399"/>
      <c r="J63" s="1400"/>
    </row>
    <row r="64" spans="2:10" ht="12.75">
      <c r="B64" s="776"/>
      <c r="C64" s="772"/>
      <c r="D64" s="774"/>
      <c r="E64" s="772" t="s">
        <v>226</v>
      </c>
      <c r="F64" s="777" t="s">
        <v>429</v>
      </c>
      <c r="G64" s="1399"/>
      <c r="H64" s="1400"/>
      <c r="I64" s="1399"/>
      <c r="J64" s="1400"/>
    </row>
    <row r="65" spans="2:10" ht="12.75">
      <c r="B65" s="776"/>
      <c r="C65" s="772"/>
      <c r="D65" s="774"/>
      <c r="E65" s="772"/>
      <c r="F65" s="784"/>
      <c r="G65" s="1397"/>
      <c r="H65" s="1398"/>
      <c r="I65" s="1397"/>
      <c r="J65" s="1398"/>
    </row>
    <row r="66" spans="2:10" ht="12.75">
      <c r="B66" s="776"/>
      <c r="C66" s="772"/>
      <c r="D66" s="774" t="s">
        <v>227</v>
      </c>
      <c r="E66" s="772"/>
      <c r="F66" s="784"/>
      <c r="G66" s="1397"/>
      <c r="H66" s="1398"/>
      <c r="I66" s="1397"/>
      <c r="J66" s="1398"/>
    </row>
    <row r="67" spans="2:10" ht="12.75">
      <c r="B67" s="776"/>
      <c r="C67" s="772"/>
      <c r="D67" s="774"/>
      <c r="E67" s="772" t="s">
        <v>228</v>
      </c>
      <c r="F67" s="777" t="s">
        <v>429</v>
      </c>
      <c r="G67" s="778">
        <v>1.66</v>
      </c>
      <c r="H67" s="779">
        <v>1.9919999999999998</v>
      </c>
      <c r="I67" s="778">
        <v>1.33</v>
      </c>
      <c r="J67" s="779">
        <v>1.78</v>
      </c>
    </row>
    <row r="68" spans="2:10" ht="12.75">
      <c r="B68" s="776"/>
      <c r="C68" s="772"/>
      <c r="D68" s="774"/>
      <c r="E68" s="772" t="s">
        <v>229</v>
      </c>
      <c r="F68" s="777" t="s">
        <v>429</v>
      </c>
      <c r="G68" s="778">
        <v>9.32</v>
      </c>
      <c r="H68" s="779">
        <v>11.184</v>
      </c>
      <c r="I68" s="778">
        <v>10.86</v>
      </c>
      <c r="J68" s="779">
        <v>12.82</v>
      </c>
    </row>
    <row r="69" spans="2:10" ht="12.75">
      <c r="B69" s="776"/>
      <c r="C69" s="772"/>
      <c r="D69" s="774"/>
      <c r="E69" s="772" t="s">
        <v>230</v>
      </c>
      <c r="F69" s="777" t="s">
        <v>429</v>
      </c>
      <c r="G69" s="778"/>
      <c r="H69" s="779"/>
      <c r="I69" s="778"/>
      <c r="J69" s="779"/>
    </row>
    <row r="70" spans="2:10" ht="12.75">
      <c r="B70" s="776"/>
      <c r="C70" s="772"/>
      <c r="D70" s="774"/>
      <c r="E70" s="772" t="s">
        <v>231</v>
      </c>
      <c r="F70" s="777" t="s">
        <v>429</v>
      </c>
      <c r="G70" s="778"/>
      <c r="H70" s="779"/>
      <c r="I70" s="778"/>
      <c r="J70" s="779"/>
    </row>
    <row r="71" spans="2:10" ht="13.5" thickBot="1">
      <c r="B71" s="765"/>
      <c r="C71" s="766"/>
      <c r="D71" s="766"/>
      <c r="E71" s="766"/>
      <c r="F71" s="780"/>
      <c r="G71" s="1401"/>
      <c r="H71" s="1402"/>
      <c r="I71" s="1401"/>
      <c r="J71" s="1402"/>
    </row>
    <row r="72" spans="2:10" ht="12.75">
      <c r="B72" s="781"/>
      <c r="C72" s="782" t="s">
        <v>245</v>
      </c>
      <c r="D72" s="782"/>
      <c r="E72" s="783"/>
      <c r="F72" s="784"/>
      <c r="G72" s="1397"/>
      <c r="H72" s="1398"/>
      <c r="I72" s="1397"/>
      <c r="J72" s="1398"/>
    </row>
    <row r="73" spans="2:10" ht="12.75">
      <c r="B73" s="776"/>
      <c r="C73" s="772"/>
      <c r="D73" s="774" t="s">
        <v>789</v>
      </c>
      <c r="E73" s="772"/>
      <c r="F73" s="777"/>
      <c r="G73" s="1397"/>
      <c r="H73" s="1398"/>
      <c r="I73" s="1397"/>
      <c r="J73" s="1398"/>
    </row>
    <row r="74" spans="2:10" ht="12.75">
      <c r="B74" s="776"/>
      <c r="C74" s="772"/>
      <c r="D74" s="772"/>
      <c r="E74" s="772" t="s">
        <v>246</v>
      </c>
      <c r="F74" s="777" t="s">
        <v>718</v>
      </c>
      <c r="G74" s="778">
        <v>41.59</v>
      </c>
      <c r="H74" s="779">
        <v>49.908</v>
      </c>
      <c r="I74" s="778">
        <v>23.76</v>
      </c>
      <c r="J74" s="779">
        <v>26.88</v>
      </c>
    </row>
    <row r="75" spans="2:10" ht="12.75">
      <c r="B75" s="776"/>
      <c r="C75" s="772"/>
      <c r="D75" s="774"/>
      <c r="E75" s="772" t="s">
        <v>247</v>
      </c>
      <c r="F75" s="777" t="s">
        <v>718</v>
      </c>
      <c r="G75" s="778"/>
      <c r="H75" s="779"/>
      <c r="I75" s="778">
        <v>29.82</v>
      </c>
      <c r="J75" s="779">
        <v>33.67</v>
      </c>
    </row>
    <row r="76" spans="2:10" ht="12.75">
      <c r="B76" s="776"/>
      <c r="C76" s="772"/>
      <c r="D76" s="774"/>
      <c r="E76" s="772" t="s">
        <v>248</v>
      </c>
      <c r="F76" s="777" t="s">
        <v>718</v>
      </c>
      <c r="G76" s="778">
        <v>55.8</v>
      </c>
      <c r="H76" s="779">
        <v>66.96</v>
      </c>
      <c r="I76" s="778">
        <v>36.97</v>
      </c>
      <c r="J76" s="779">
        <v>41.55</v>
      </c>
    </row>
    <row r="77" spans="2:10" ht="12.75">
      <c r="B77" s="776"/>
      <c r="C77" s="772"/>
      <c r="D77" s="774"/>
      <c r="E77" s="772" t="s">
        <v>249</v>
      </c>
      <c r="F77" s="777" t="s">
        <v>718</v>
      </c>
      <c r="G77" s="778"/>
      <c r="H77" s="779"/>
      <c r="I77" s="778">
        <v>46.81</v>
      </c>
      <c r="J77" s="779">
        <v>52.49</v>
      </c>
    </row>
    <row r="78" spans="2:10" ht="12.75">
      <c r="B78" s="776"/>
      <c r="C78" s="772"/>
      <c r="D78" s="774"/>
      <c r="E78" s="772"/>
      <c r="F78" s="777"/>
      <c r="G78" s="1397"/>
      <c r="H78" s="1398"/>
      <c r="I78" s="1397"/>
      <c r="J78" s="1398"/>
    </row>
    <row r="79" spans="2:10" ht="12.75">
      <c r="B79" s="776"/>
      <c r="C79" s="772"/>
      <c r="D79" s="774" t="s">
        <v>430</v>
      </c>
      <c r="E79" s="772"/>
      <c r="F79" s="777"/>
      <c r="G79" s="1397"/>
      <c r="H79" s="1398"/>
      <c r="I79" s="1397"/>
      <c r="J79" s="1398"/>
    </row>
    <row r="80" spans="2:10" ht="12.75">
      <c r="B80" s="776"/>
      <c r="C80" s="772"/>
      <c r="D80" s="772"/>
      <c r="E80" s="772" t="s">
        <v>250</v>
      </c>
      <c r="F80" s="777" t="s">
        <v>429</v>
      </c>
      <c r="G80" s="778"/>
      <c r="H80" s="779"/>
      <c r="I80" s="778">
        <v>1.99</v>
      </c>
      <c r="J80" s="779">
        <v>2.61</v>
      </c>
    </row>
    <row r="81" spans="2:10" ht="12.75">
      <c r="B81" s="776"/>
      <c r="C81" s="772"/>
      <c r="D81" s="772"/>
      <c r="E81" s="772" t="s">
        <v>251</v>
      </c>
      <c r="F81" s="777" t="s">
        <v>429</v>
      </c>
      <c r="G81" s="778"/>
      <c r="H81" s="779"/>
      <c r="I81" s="778">
        <v>39.15</v>
      </c>
      <c r="J81" s="779">
        <v>45.36</v>
      </c>
    </row>
    <row r="82" spans="2:10" ht="12.75">
      <c r="B82" s="776"/>
      <c r="C82" s="772"/>
      <c r="D82" s="774"/>
      <c r="E82" s="772" t="s">
        <v>252</v>
      </c>
      <c r="F82" s="777" t="s">
        <v>429</v>
      </c>
      <c r="G82" s="778"/>
      <c r="H82" s="779"/>
      <c r="I82" s="778">
        <v>2.74</v>
      </c>
      <c r="J82" s="779">
        <v>3.61</v>
      </c>
    </row>
    <row r="83" spans="2:10" ht="12.75">
      <c r="B83" s="776"/>
      <c r="C83" s="772"/>
      <c r="D83" s="774"/>
      <c r="E83" s="772" t="s">
        <v>253</v>
      </c>
      <c r="F83" s="777" t="s">
        <v>429</v>
      </c>
      <c r="G83" s="778"/>
      <c r="H83" s="779"/>
      <c r="I83" s="778">
        <v>64.96</v>
      </c>
      <c r="J83" s="779">
        <v>74.53</v>
      </c>
    </row>
    <row r="84" spans="2:10" ht="12.75">
      <c r="B84" s="776"/>
      <c r="C84" s="772"/>
      <c r="D84" s="772"/>
      <c r="E84" s="772"/>
      <c r="F84" s="777"/>
      <c r="G84" s="1397"/>
      <c r="H84" s="1398"/>
      <c r="I84" s="1397"/>
      <c r="J84" s="1398"/>
    </row>
    <row r="85" spans="2:10" ht="12.75">
      <c r="B85" s="770"/>
      <c r="C85" s="772"/>
      <c r="D85" s="774" t="s">
        <v>455</v>
      </c>
      <c r="E85" s="772"/>
      <c r="F85" s="777"/>
      <c r="G85" s="1397"/>
      <c r="H85" s="1398"/>
      <c r="I85" s="1397"/>
      <c r="J85" s="1398"/>
    </row>
    <row r="86" spans="2:10" ht="12.75">
      <c r="B86" s="770"/>
      <c r="C86" s="772"/>
      <c r="D86" s="774"/>
      <c r="E86" s="772" t="s">
        <v>117</v>
      </c>
      <c r="F86" s="777" t="s">
        <v>718</v>
      </c>
      <c r="G86" s="778">
        <v>148.69</v>
      </c>
      <c r="H86" s="779">
        <v>178.428</v>
      </c>
      <c r="I86" s="778">
        <v>152.89</v>
      </c>
      <c r="J86" s="779">
        <v>173.04</v>
      </c>
    </row>
    <row r="87" spans="2:10" ht="12.75">
      <c r="B87" s="770"/>
      <c r="C87" s="772"/>
      <c r="D87" s="774"/>
      <c r="E87" s="772" t="s">
        <v>118</v>
      </c>
      <c r="F87" s="777" t="s">
        <v>718</v>
      </c>
      <c r="G87" s="778"/>
      <c r="H87" s="779"/>
      <c r="I87" s="778">
        <v>152.89</v>
      </c>
      <c r="J87" s="779">
        <v>152.89</v>
      </c>
    </row>
    <row r="88" spans="2:10" ht="12.75">
      <c r="B88" s="770"/>
      <c r="C88" s="772"/>
      <c r="D88" s="774"/>
      <c r="E88" s="772" t="s">
        <v>119</v>
      </c>
      <c r="F88" s="777" t="s">
        <v>718</v>
      </c>
      <c r="G88" s="778"/>
      <c r="H88" s="779"/>
      <c r="I88" s="778">
        <v>152.89</v>
      </c>
      <c r="J88" s="779">
        <v>173.42</v>
      </c>
    </row>
    <row r="89" spans="2:10" ht="12.75">
      <c r="B89" s="770"/>
      <c r="C89" s="772"/>
      <c r="D89" s="774"/>
      <c r="E89" s="772" t="s">
        <v>258</v>
      </c>
      <c r="F89" s="777" t="s">
        <v>718</v>
      </c>
      <c r="G89" s="778">
        <v>440.09</v>
      </c>
      <c r="H89" s="779">
        <v>528.108</v>
      </c>
      <c r="I89" s="778">
        <v>444.45</v>
      </c>
      <c r="J89" s="779"/>
    </row>
    <row r="90" spans="2:10" ht="12.75">
      <c r="B90" s="770"/>
      <c r="C90" s="772"/>
      <c r="D90" s="774"/>
      <c r="E90" s="772" t="s">
        <v>130</v>
      </c>
      <c r="F90" s="777" t="s">
        <v>718</v>
      </c>
      <c r="G90" s="778"/>
      <c r="H90" s="779"/>
      <c r="I90" s="778">
        <v>444.45</v>
      </c>
      <c r="J90" s="779"/>
    </row>
    <row r="91" spans="2:10" ht="12.75">
      <c r="B91" s="770"/>
      <c r="C91" s="772"/>
      <c r="D91" s="774"/>
      <c r="E91" s="772" t="s">
        <v>131</v>
      </c>
      <c r="F91" s="777" t="s">
        <v>718</v>
      </c>
      <c r="G91" s="778"/>
      <c r="H91" s="779"/>
      <c r="I91" s="778">
        <v>444.45</v>
      </c>
      <c r="J91" s="779"/>
    </row>
    <row r="92" spans="2:10" ht="12.75">
      <c r="B92" s="770"/>
      <c r="C92" s="772"/>
      <c r="D92" s="772"/>
      <c r="E92" s="772"/>
      <c r="F92" s="777"/>
      <c r="G92" s="1397"/>
      <c r="H92" s="1398"/>
      <c r="I92" s="1397"/>
      <c r="J92" s="1398"/>
    </row>
    <row r="93" spans="2:10" ht="12.75">
      <c r="B93" s="770"/>
      <c r="C93" s="772"/>
      <c r="D93" s="774" t="s">
        <v>597</v>
      </c>
      <c r="E93" s="772"/>
      <c r="F93" s="777"/>
      <c r="G93" s="1397"/>
      <c r="H93" s="1398"/>
      <c r="I93" s="1397"/>
      <c r="J93" s="1398"/>
    </row>
    <row r="94" spans="2:10" ht="12.75">
      <c r="B94" s="770"/>
      <c r="C94" s="772"/>
      <c r="D94" s="772"/>
      <c r="E94" s="772" t="s">
        <v>84</v>
      </c>
      <c r="F94" s="777" t="s">
        <v>718</v>
      </c>
      <c r="G94" s="778"/>
      <c r="H94" s="779"/>
      <c r="I94" s="778">
        <v>1020.97</v>
      </c>
      <c r="J94" s="779">
        <v>1134.52</v>
      </c>
    </row>
    <row r="95" spans="2:10" ht="12.75">
      <c r="B95" s="770"/>
      <c r="C95" s="772"/>
      <c r="D95" s="774"/>
      <c r="E95" s="772"/>
      <c r="F95" s="777"/>
      <c r="G95" s="1397"/>
      <c r="H95" s="1398"/>
      <c r="I95" s="1397"/>
      <c r="J95" s="1398"/>
    </row>
    <row r="96" spans="2:10" ht="12.75">
      <c r="B96" s="770"/>
      <c r="C96" s="772"/>
      <c r="D96" s="774" t="s">
        <v>320</v>
      </c>
      <c r="E96" s="772"/>
      <c r="F96" s="777"/>
      <c r="G96" s="1397"/>
      <c r="H96" s="1398"/>
      <c r="I96" s="1397"/>
      <c r="J96" s="1398"/>
    </row>
    <row r="97" spans="2:10" ht="12.75">
      <c r="B97" s="770"/>
      <c r="C97" s="772"/>
      <c r="D97" s="774"/>
      <c r="E97" s="783" t="s">
        <v>85</v>
      </c>
      <c r="F97" s="777" t="s">
        <v>429</v>
      </c>
      <c r="G97" s="778">
        <v>74.24</v>
      </c>
      <c r="H97" s="779">
        <v>89.088</v>
      </c>
      <c r="I97" s="778">
        <v>59.25</v>
      </c>
      <c r="J97" s="779">
        <v>66.58</v>
      </c>
    </row>
    <row r="98" spans="2:10" ht="12.75">
      <c r="B98" s="770"/>
      <c r="C98" s="772"/>
      <c r="D98" s="774"/>
      <c r="E98" s="783" t="s">
        <v>86</v>
      </c>
      <c r="F98" s="777" t="s">
        <v>429</v>
      </c>
      <c r="G98" s="778">
        <v>51.24</v>
      </c>
      <c r="H98" s="779">
        <v>61.488</v>
      </c>
      <c r="I98" s="778">
        <v>44.23</v>
      </c>
      <c r="J98" s="779">
        <v>51.4</v>
      </c>
    </row>
    <row r="99" spans="2:10" ht="12.75">
      <c r="B99" s="770"/>
      <c r="C99" s="772"/>
      <c r="D99" s="774"/>
      <c r="E99" s="783" t="s">
        <v>87</v>
      </c>
      <c r="F99" s="777" t="s">
        <v>429</v>
      </c>
      <c r="G99" s="778"/>
      <c r="H99" s="779"/>
      <c r="I99" s="778">
        <v>29.05</v>
      </c>
      <c r="J99" s="779">
        <v>33.17</v>
      </c>
    </row>
    <row r="100" spans="2:10" ht="12.75">
      <c r="B100" s="770"/>
      <c r="C100" s="772"/>
      <c r="D100" s="774"/>
      <c r="E100" s="783" t="s">
        <v>88</v>
      </c>
      <c r="F100" s="777" t="s">
        <v>429</v>
      </c>
      <c r="G100" s="778"/>
      <c r="H100" s="779"/>
      <c r="I100" s="778"/>
      <c r="J100" s="779"/>
    </row>
    <row r="101" spans="2:10" ht="12.75">
      <c r="B101" s="770"/>
      <c r="C101" s="772"/>
      <c r="D101" s="774"/>
      <c r="E101" s="783" t="s">
        <v>89</v>
      </c>
      <c r="F101" s="777" t="s">
        <v>429</v>
      </c>
      <c r="G101" s="778"/>
      <c r="H101" s="779"/>
      <c r="I101" s="778"/>
      <c r="J101" s="779"/>
    </row>
    <row r="102" spans="2:10" ht="12.75">
      <c r="B102" s="770"/>
      <c r="C102" s="772"/>
      <c r="D102" s="774"/>
      <c r="E102" s="783" t="s">
        <v>90</v>
      </c>
      <c r="F102" s="777" t="s">
        <v>429</v>
      </c>
      <c r="G102" s="1399"/>
      <c r="H102" s="1400"/>
      <c r="I102" s="1399"/>
      <c r="J102" s="1400"/>
    </row>
    <row r="103" spans="2:10" ht="12.75">
      <c r="B103" s="770"/>
      <c r="C103" s="772"/>
      <c r="D103" s="774"/>
      <c r="E103" s="783" t="s">
        <v>91</v>
      </c>
      <c r="F103" s="777" t="s">
        <v>429</v>
      </c>
      <c r="G103" s="778">
        <v>77.24</v>
      </c>
      <c r="H103" s="779">
        <v>92.68799999999999</v>
      </c>
      <c r="I103" s="778">
        <v>77.24</v>
      </c>
      <c r="J103" s="779">
        <v>88.11</v>
      </c>
    </row>
    <row r="104" spans="2:10" ht="12.75">
      <c r="B104" s="770"/>
      <c r="C104" s="772"/>
      <c r="D104" s="774"/>
      <c r="E104" s="783" t="s">
        <v>92</v>
      </c>
      <c r="F104" s="777" t="s">
        <v>429</v>
      </c>
      <c r="G104" s="1399"/>
      <c r="H104" s="1400"/>
      <c r="I104" s="1399"/>
      <c r="J104" s="1400"/>
    </row>
    <row r="105" spans="2:10" ht="12.75">
      <c r="B105" s="770"/>
      <c r="C105" s="772"/>
      <c r="D105" s="774"/>
      <c r="E105" s="772"/>
      <c r="F105" s="777"/>
      <c r="G105" s="1397"/>
      <c r="H105" s="1398"/>
      <c r="I105" s="1397"/>
      <c r="J105" s="1398"/>
    </row>
    <row r="106" spans="2:10" ht="12.75">
      <c r="B106" s="770"/>
      <c r="C106" s="772"/>
      <c r="D106" s="774" t="s">
        <v>227</v>
      </c>
      <c r="E106" s="772"/>
      <c r="F106" s="777"/>
      <c r="G106" s="1397"/>
      <c r="H106" s="1398"/>
      <c r="I106" s="1397"/>
      <c r="J106" s="1398"/>
    </row>
    <row r="107" spans="2:10" ht="12.75">
      <c r="B107" s="770"/>
      <c r="C107" s="772"/>
      <c r="D107" s="772"/>
      <c r="E107" s="783" t="s">
        <v>93</v>
      </c>
      <c r="F107" s="777" t="s">
        <v>429</v>
      </c>
      <c r="G107" s="778"/>
      <c r="H107" s="779"/>
      <c r="I107" s="778"/>
      <c r="J107" s="779"/>
    </row>
    <row r="108" spans="2:10" ht="12.75">
      <c r="B108" s="770"/>
      <c r="C108" s="772"/>
      <c r="D108" s="772"/>
      <c r="E108" s="783" t="s">
        <v>94</v>
      </c>
      <c r="F108" s="777" t="s">
        <v>429</v>
      </c>
      <c r="G108" s="778">
        <v>228.25</v>
      </c>
      <c r="H108" s="779">
        <v>273.9</v>
      </c>
      <c r="I108" s="778">
        <v>223.81</v>
      </c>
      <c r="J108" s="779">
        <v>262.73</v>
      </c>
    </row>
    <row r="109" spans="2:10" ht="12.75">
      <c r="B109" s="770"/>
      <c r="C109" s="772"/>
      <c r="D109" s="772"/>
      <c r="E109" s="772" t="s">
        <v>95</v>
      </c>
      <c r="F109" s="777" t="s">
        <v>429</v>
      </c>
      <c r="G109" s="1399"/>
      <c r="H109" s="1400"/>
      <c r="I109" s="1399"/>
      <c r="J109" s="1400"/>
    </row>
    <row r="110" spans="2:10" ht="12.75">
      <c r="B110" s="770"/>
      <c r="C110" s="772"/>
      <c r="D110" s="772"/>
      <c r="E110" s="783" t="s">
        <v>275</v>
      </c>
      <c r="F110" s="777" t="s">
        <v>429</v>
      </c>
      <c r="G110" s="778">
        <v>411.49</v>
      </c>
      <c r="H110" s="779">
        <v>493.788</v>
      </c>
      <c r="I110" s="778">
        <v>399.61</v>
      </c>
      <c r="J110" s="779">
        <v>457.92</v>
      </c>
    </row>
    <row r="111" spans="2:10" ht="12.75">
      <c r="B111" s="770"/>
      <c r="C111" s="772"/>
      <c r="D111" s="774"/>
      <c r="E111" s="772" t="s">
        <v>276</v>
      </c>
      <c r="F111" s="777" t="s">
        <v>429</v>
      </c>
      <c r="G111" s="1399"/>
      <c r="H111" s="1400"/>
      <c r="I111" s="1399"/>
      <c r="J111" s="1400"/>
    </row>
    <row r="112" spans="2:10" ht="13.5" thickBot="1">
      <c r="B112" s="765"/>
      <c r="C112" s="766"/>
      <c r="D112" s="766"/>
      <c r="E112" s="766"/>
      <c r="F112" s="780"/>
      <c r="G112" s="1403"/>
      <c r="H112" s="1404"/>
      <c r="I112" s="1403"/>
      <c r="J112" s="1404"/>
    </row>
    <row r="113" spans="2:10" ht="12.75">
      <c r="B113" s="781"/>
      <c r="C113" s="782" t="s">
        <v>277</v>
      </c>
      <c r="D113" s="782"/>
      <c r="E113" s="783"/>
      <c r="F113" s="784"/>
      <c r="G113" s="1397"/>
      <c r="H113" s="1398"/>
      <c r="I113" s="1397"/>
      <c r="J113" s="1398"/>
    </row>
    <row r="114" spans="2:10" ht="12.75">
      <c r="B114" s="770"/>
      <c r="C114" s="772"/>
      <c r="D114" s="774" t="s">
        <v>789</v>
      </c>
      <c r="E114" s="772"/>
      <c r="F114" s="777"/>
      <c r="G114" s="1397"/>
      <c r="H114" s="1398"/>
      <c r="I114" s="1397"/>
      <c r="J114" s="1398"/>
    </row>
    <row r="115" spans="2:10" ht="12.75">
      <c r="B115" s="770"/>
      <c r="C115" s="772"/>
      <c r="D115" s="774"/>
      <c r="E115" s="772" t="s">
        <v>278</v>
      </c>
      <c r="F115" s="777" t="s">
        <v>718</v>
      </c>
      <c r="G115" s="778">
        <v>74.69</v>
      </c>
      <c r="H115" s="779">
        <v>89.628</v>
      </c>
      <c r="I115" s="778">
        <v>52.85</v>
      </c>
      <c r="J115" s="779">
        <v>52.85</v>
      </c>
    </row>
    <row r="116" spans="2:10" ht="12.75">
      <c r="B116" s="770"/>
      <c r="C116" s="772"/>
      <c r="D116" s="774"/>
      <c r="E116" s="772" t="s">
        <v>279</v>
      </c>
      <c r="F116" s="777" t="s">
        <v>718</v>
      </c>
      <c r="G116" s="778">
        <v>637</v>
      </c>
      <c r="H116" s="779">
        <v>764.4</v>
      </c>
      <c r="I116" s="778">
        <v>47.77</v>
      </c>
      <c r="J116" s="779">
        <v>53.51</v>
      </c>
    </row>
    <row r="117" spans="2:10" ht="12.75">
      <c r="B117" s="770"/>
      <c r="C117" s="772"/>
      <c r="D117" s="774"/>
      <c r="E117" s="783"/>
      <c r="F117" s="777"/>
      <c r="G117" s="1397"/>
      <c r="H117" s="1398"/>
      <c r="I117" s="1397"/>
      <c r="J117" s="1398"/>
    </row>
    <row r="118" spans="2:10" ht="12.75">
      <c r="B118" s="770"/>
      <c r="C118" s="772"/>
      <c r="D118" s="774" t="s">
        <v>430</v>
      </c>
      <c r="E118" s="772"/>
      <c r="F118" s="784"/>
      <c r="G118" s="1397"/>
      <c r="H118" s="1398"/>
      <c r="I118" s="1397"/>
      <c r="J118" s="1398"/>
    </row>
    <row r="119" spans="2:10" ht="12.75">
      <c r="B119" s="770"/>
      <c r="C119" s="772"/>
      <c r="D119" s="774"/>
      <c r="E119" s="772" t="s">
        <v>280</v>
      </c>
      <c r="F119" s="777" t="s">
        <v>429</v>
      </c>
      <c r="G119" s="778"/>
      <c r="H119" s="779"/>
      <c r="I119" s="778">
        <v>2.61</v>
      </c>
      <c r="J119" s="779">
        <v>3.64</v>
      </c>
    </row>
    <row r="120" spans="2:10" ht="12.75">
      <c r="B120" s="770"/>
      <c r="C120" s="772"/>
      <c r="D120" s="774"/>
      <c r="E120" s="772" t="s">
        <v>281</v>
      </c>
      <c r="F120" s="777" t="s">
        <v>429</v>
      </c>
      <c r="G120" s="778"/>
      <c r="H120" s="779"/>
      <c r="I120" s="778">
        <v>86.15</v>
      </c>
      <c r="J120" s="779">
        <v>98.62</v>
      </c>
    </row>
    <row r="121" spans="2:10" ht="12.75">
      <c r="B121" s="770"/>
      <c r="C121" s="772"/>
      <c r="D121" s="774"/>
      <c r="E121" s="783" t="s">
        <v>144</v>
      </c>
      <c r="F121" s="777" t="s">
        <v>429</v>
      </c>
      <c r="G121" s="778"/>
      <c r="H121" s="779"/>
      <c r="I121" s="778">
        <v>2.98</v>
      </c>
      <c r="J121" s="779">
        <v>3.8</v>
      </c>
    </row>
    <row r="122" spans="2:10" ht="12.75">
      <c r="B122" s="770"/>
      <c r="C122" s="772"/>
      <c r="D122" s="772"/>
      <c r="E122" s="772"/>
      <c r="F122" s="777"/>
      <c r="G122" s="1397"/>
      <c r="H122" s="1398"/>
      <c r="I122" s="1397"/>
      <c r="J122" s="1398"/>
    </row>
    <row r="123" spans="2:10" ht="12.75">
      <c r="B123" s="770"/>
      <c r="C123" s="772"/>
      <c r="D123" s="774" t="s">
        <v>455</v>
      </c>
      <c r="E123" s="772"/>
      <c r="F123" s="784"/>
      <c r="G123" s="1397"/>
      <c r="H123" s="1398"/>
      <c r="I123" s="1397"/>
      <c r="J123" s="1398"/>
    </row>
    <row r="124" spans="2:10" ht="12.75">
      <c r="B124" s="770"/>
      <c r="C124" s="772"/>
      <c r="D124" s="772"/>
      <c r="E124" s="772" t="s">
        <v>394</v>
      </c>
      <c r="F124" s="777" t="s">
        <v>718</v>
      </c>
      <c r="G124" s="778">
        <v>1170.88</v>
      </c>
      <c r="H124" s="779">
        <v>1405.056</v>
      </c>
      <c r="I124" s="778">
        <v>1191.4</v>
      </c>
      <c r="J124" s="779">
        <v>0</v>
      </c>
    </row>
    <row r="125" spans="2:10" ht="12.75">
      <c r="B125" s="770"/>
      <c r="C125" s="772"/>
      <c r="D125" s="772"/>
      <c r="E125" s="772" t="s">
        <v>393</v>
      </c>
      <c r="F125" s="777" t="s">
        <v>718</v>
      </c>
      <c r="G125" s="778"/>
      <c r="H125" s="779"/>
      <c r="I125" s="778">
        <v>1191.4</v>
      </c>
      <c r="J125" s="779">
        <v>1323.44</v>
      </c>
    </row>
    <row r="126" spans="2:10" ht="12.75">
      <c r="B126" s="770"/>
      <c r="C126" s="772"/>
      <c r="D126" s="772"/>
      <c r="E126" s="772" t="s">
        <v>357</v>
      </c>
      <c r="F126" s="777" t="s">
        <v>718</v>
      </c>
      <c r="G126" s="778"/>
      <c r="H126" s="779"/>
      <c r="I126" s="778"/>
      <c r="J126" s="779"/>
    </row>
    <row r="127" spans="2:10" ht="12.75">
      <c r="B127" s="770"/>
      <c r="C127" s="772"/>
      <c r="D127" s="772"/>
      <c r="E127" s="772"/>
      <c r="F127" s="775"/>
      <c r="G127" s="1397"/>
      <c r="H127" s="1398"/>
      <c r="I127" s="1397"/>
      <c r="J127" s="1398"/>
    </row>
    <row r="128" spans="2:10" ht="12.75">
      <c r="B128" s="770"/>
      <c r="C128" s="772"/>
      <c r="D128" s="774" t="s">
        <v>597</v>
      </c>
      <c r="E128" s="772"/>
      <c r="F128" s="775"/>
      <c r="G128" s="1397"/>
      <c r="H128" s="1398"/>
      <c r="I128" s="1397"/>
      <c r="J128" s="1398"/>
    </row>
    <row r="129" spans="2:10" ht="12.75">
      <c r="B129" s="770"/>
      <c r="C129" s="772"/>
      <c r="D129" s="772"/>
      <c r="E129" s="783" t="s">
        <v>358</v>
      </c>
      <c r="F129" s="777" t="s">
        <v>718</v>
      </c>
      <c r="G129" s="778"/>
      <c r="H129" s="779"/>
      <c r="I129" s="778"/>
      <c r="J129" s="779"/>
    </row>
    <row r="130" spans="2:10" ht="12.75">
      <c r="B130" s="770"/>
      <c r="C130" s="772"/>
      <c r="D130" s="772"/>
      <c r="E130" s="772"/>
      <c r="F130" s="775"/>
      <c r="G130" s="1397"/>
      <c r="H130" s="1398"/>
      <c r="I130" s="1397"/>
      <c r="J130" s="1398"/>
    </row>
    <row r="131" spans="2:10" ht="12.75">
      <c r="B131" s="770"/>
      <c r="C131" s="772"/>
      <c r="D131" s="774" t="s">
        <v>320</v>
      </c>
      <c r="E131" s="772"/>
      <c r="F131" s="775"/>
      <c r="G131" s="1397"/>
      <c r="H131" s="1398"/>
      <c r="I131" s="1397"/>
      <c r="J131" s="1398"/>
    </row>
    <row r="132" spans="2:10" ht="12.75">
      <c r="B132" s="770"/>
      <c r="C132" s="772"/>
      <c r="D132" s="772"/>
      <c r="E132" s="772" t="s">
        <v>359</v>
      </c>
      <c r="F132" s="777" t="s">
        <v>429</v>
      </c>
      <c r="G132" s="778">
        <v>120.95</v>
      </c>
      <c r="H132" s="779">
        <v>145.14</v>
      </c>
      <c r="I132" s="778">
        <v>131.08</v>
      </c>
      <c r="J132" s="779">
        <v>146.88</v>
      </c>
    </row>
    <row r="133" spans="2:10" ht="12.75">
      <c r="B133" s="770"/>
      <c r="C133" s="772"/>
      <c r="D133" s="772"/>
      <c r="E133" s="772" t="s">
        <v>360</v>
      </c>
      <c r="F133" s="777" t="s">
        <v>429</v>
      </c>
      <c r="G133" s="1399"/>
      <c r="H133" s="1400"/>
      <c r="I133" s="1399"/>
      <c r="J133" s="1400"/>
    </row>
    <row r="134" spans="2:10" ht="12.75">
      <c r="B134" s="770"/>
      <c r="C134" s="772"/>
      <c r="D134" s="772"/>
      <c r="E134" s="772"/>
      <c r="F134" s="775"/>
      <c r="G134" s="1397"/>
      <c r="H134" s="1398"/>
      <c r="I134" s="1397"/>
      <c r="J134" s="1398"/>
    </row>
    <row r="135" spans="2:10" ht="12.75">
      <c r="B135" s="770"/>
      <c r="C135" s="772"/>
      <c r="D135" s="774" t="s">
        <v>227</v>
      </c>
      <c r="E135" s="772"/>
      <c r="F135" s="777"/>
      <c r="G135" s="1397"/>
      <c r="H135" s="1398"/>
      <c r="I135" s="1397"/>
      <c r="J135" s="1398"/>
    </row>
    <row r="136" spans="2:10" ht="12.75">
      <c r="B136" s="770"/>
      <c r="C136" s="772"/>
      <c r="D136" s="772"/>
      <c r="E136" s="783" t="s">
        <v>361</v>
      </c>
      <c r="F136" s="777" t="s">
        <v>429</v>
      </c>
      <c r="G136" s="778">
        <v>975.14</v>
      </c>
      <c r="H136" s="779">
        <v>1170.168</v>
      </c>
      <c r="I136" s="778">
        <v>1018.69</v>
      </c>
      <c r="J136" s="779">
        <v>1139.95</v>
      </c>
    </row>
    <row r="137" spans="2:10" ht="12.75">
      <c r="B137" s="770"/>
      <c r="C137" s="772"/>
      <c r="D137" s="772"/>
      <c r="E137" s="783" t="s">
        <v>362</v>
      </c>
      <c r="F137" s="777" t="s">
        <v>429</v>
      </c>
      <c r="G137" s="1399"/>
      <c r="H137" s="1400"/>
      <c r="I137" s="1399"/>
      <c r="J137" s="1400"/>
    </row>
    <row r="138" spans="2:10" ht="13.5" thickBot="1">
      <c r="B138" s="765"/>
      <c r="C138" s="766"/>
      <c r="D138" s="766"/>
      <c r="E138" s="766"/>
      <c r="F138" s="780"/>
      <c r="G138" s="1403"/>
      <c r="H138" s="1404"/>
      <c r="I138" s="1403"/>
      <c r="J138" s="1404"/>
    </row>
    <row r="139" spans="2:10" ht="12.75">
      <c r="B139" s="781"/>
      <c r="C139" s="782" t="s">
        <v>367</v>
      </c>
      <c r="D139" s="782"/>
      <c r="E139" s="783"/>
      <c r="F139" s="784"/>
      <c r="G139" s="1397"/>
      <c r="H139" s="1398"/>
      <c r="I139" s="1397"/>
      <c r="J139" s="1398"/>
    </row>
    <row r="140" spans="2:10" ht="12.75">
      <c r="B140" s="770"/>
      <c r="C140" s="772"/>
      <c r="D140" s="774" t="s">
        <v>368</v>
      </c>
      <c r="E140" s="772"/>
      <c r="F140" s="777"/>
      <c r="G140" s="1397"/>
      <c r="H140" s="1398"/>
      <c r="I140" s="1397"/>
      <c r="J140" s="1398"/>
    </row>
    <row r="141" spans="2:10" ht="12.75">
      <c r="B141" s="770"/>
      <c r="C141" s="772"/>
      <c r="D141" s="772"/>
      <c r="E141" s="783" t="s">
        <v>369</v>
      </c>
      <c r="F141" s="777" t="s">
        <v>429</v>
      </c>
      <c r="G141" s="1399"/>
      <c r="H141" s="1400"/>
      <c r="I141" s="1399"/>
      <c r="J141" s="1400"/>
    </row>
    <row r="142" spans="2:10" ht="12.75">
      <c r="B142" s="770"/>
      <c r="C142" s="772"/>
      <c r="D142" s="772"/>
      <c r="E142" s="783" t="s">
        <v>495</v>
      </c>
      <c r="F142" s="777" t="s">
        <v>429</v>
      </c>
      <c r="G142" s="1399"/>
      <c r="H142" s="1400"/>
      <c r="I142" s="1399"/>
      <c r="J142" s="1400"/>
    </row>
    <row r="143" spans="2:10" ht="12.75">
      <c r="B143" s="770"/>
      <c r="C143" s="783"/>
      <c r="D143" s="774"/>
      <c r="E143" s="772"/>
      <c r="F143" s="777"/>
      <c r="G143" s="1397"/>
      <c r="H143" s="1398"/>
      <c r="I143" s="1397"/>
      <c r="J143" s="1398"/>
    </row>
    <row r="144" spans="2:10" ht="12.75">
      <c r="B144" s="770"/>
      <c r="C144" s="772"/>
      <c r="D144" s="774" t="s">
        <v>496</v>
      </c>
      <c r="E144" s="772"/>
      <c r="F144" s="777"/>
      <c r="G144" s="1397"/>
      <c r="H144" s="1398"/>
      <c r="I144" s="1397"/>
      <c r="J144" s="1398"/>
    </row>
    <row r="145" spans="2:10" ht="12.75">
      <c r="B145" s="770"/>
      <c r="C145" s="772"/>
      <c r="D145" s="772"/>
      <c r="E145" s="783" t="s">
        <v>371</v>
      </c>
      <c r="F145" s="777" t="s">
        <v>429</v>
      </c>
      <c r="G145" s="1399"/>
      <c r="H145" s="1400"/>
      <c r="I145" s="1399"/>
      <c r="J145" s="1400"/>
    </row>
    <row r="146" spans="2:10" ht="12.75">
      <c r="B146" s="770"/>
      <c r="C146" s="772"/>
      <c r="D146" s="772"/>
      <c r="E146" s="783" t="s">
        <v>372</v>
      </c>
      <c r="F146" s="777" t="s">
        <v>429</v>
      </c>
      <c r="G146" s="1399"/>
      <c r="H146" s="1400"/>
      <c r="I146" s="1399"/>
      <c r="J146" s="1400"/>
    </row>
    <row r="147" spans="2:10" ht="13.5" thickBot="1">
      <c r="B147" s="765"/>
      <c r="C147" s="766"/>
      <c r="D147" s="766"/>
      <c r="E147" s="766"/>
      <c r="F147" s="780"/>
      <c r="G147" s="1405"/>
      <c r="H147" s="1406"/>
      <c r="I147" s="1405"/>
      <c r="J147" s="1406"/>
    </row>
    <row r="148" spans="2:10" ht="13.5" thickBot="1">
      <c r="B148" s="783"/>
      <c r="C148" s="783"/>
      <c r="D148" s="783"/>
      <c r="E148" s="783"/>
      <c r="F148" s="783"/>
      <c r="G148" s="672"/>
      <c r="H148" s="672"/>
      <c r="I148" s="672"/>
      <c r="J148" s="672"/>
    </row>
    <row r="149" spans="2:10" ht="12.75">
      <c r="B149" s="785"/>
      <c r="C149" s="786" t="s">
        <v>373</v>
      </c>
      <c r="D149" s="786"/>
      <c r="E149" s="787"/>
      <c r="F149" s="788"/>
      <c r="G149" s="1407"/>
      <c r="H149" s="1408"/>
      <c r="I149" s="1407"/>
      <c r="J149" s="1408"/>
    </row>
    <row r="150" spans="2:10" ht="12.75">
      <c r="B150" s="776"/>
      <c r="C150" s="772"/>
      <c r="D150" s="774"/>
      <c r="E150" s="774" t="s">
        <v>609</v>
      </c>
      <c r="F150" s="777"/>
      <c r="G150" s="789"/>
      <c r="H150" s="790"/>
      <c r="I150" s="789"/>
      <c r="J150" s="790"/>
    </row>
    <row r="151" spans="2:10" ht="12.75">
      <c r="B151" s="776"/>
      <c r="C151" s="772"/>
      <c r="D151" s="774"/>
      <c r="E151" s="791" t="s">
        <v>374</v>
      </c>
      <c r="F151" s="777" t="s">
        <v>429</v>
      </c>
      <c r="G151" s="778">
        <v>20.49</v>
      </c>
      <c r="H151" s="779">
        <v>24.587999999999997</v>
      </c>
      <c r="I151" s="778">
        <v>21.37</v>
      </c>
      <c r="J151" s="779">
        <v>24.52</v>
      </c>
    </row>
    <row r="152" spans="2:10" ht="12.75">
      <c r="B152" s="776"/>
      <c r="C152" s="772"/>
      <c r="D152" s="774"/>
      <c r="E152" s="791" t="s">
        <v>375</v>
      </c>
      <c r="F152" s="777" t="s">
        <v>429</v>
      </c>
      <c r="G152" s="778">
        <v>20.49</v>
      </c>
      <c r="H152" s="779">
        <v>24.587999999999997</v>
      </c>
      <c r="I152" s="778">
        <v>21.37</v>
      </c>
      <c r="J152" s="779">
        <v>24.52</v>
      </c>
    </row>
    <row r="153" spans="2:10" ht="12.75">
      <c r="B153" s="776"/>
      <c r="C153" s="772"/>
      <c r="D153" s="774"/>
      <c r="E153" s="774" t="s">
        <v>218</v>
      </c>
      <c r="F153" s="777"/>
      <c r="G153" s="789"/>
      <c r="H153" s="790"/>
      <c r="I153" s="789"/>
      <c r="J153" s="790"/>
    </row>
    <row r="154" spans="2:10" ht="12.75">
      <c r="B154" s="776"/>
      <c r="C154" s="772"/>
      <c r="D154" s="774"/>
      <c r="E154" s="791" t="s">
        <v>374</v>
      </c>
      <c r="F154" s="777" t="s">
        <v>429</v>
      </c>
      <c r="G154" s="778"/>
      <c r="H154" s="779"/>
      <c r="I154" s="778"/>
      <c r="J154" s="779"/>
    </row>
    <row r="155" spans="2:10" ht="13.5" thickBot="1">
      <c r="B155" s="792"/>
      <c r="C155" s="793"/>
      <c r="D155" s="794"/>
      <c r="E155" s="795" t="s">
        <v>375</v>
      </c>
      <c r="F155" s="796" t="s">
        <v>429</v>
      </c>
      <c r="G155" s="797"/>
      <c r="H155" s="798"/>
      <c r="I155" s="797"/>
      <c r="J155" s="798"/>
    </row>
  </sheetData>
  <sheetProtection/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27"/>
  <sheetViews>
    <sheetView zoomScalePageLayoutView="0" workbookViewId="0" topLeftCell="A1">
      <selection activeCell="D12" sqref="D12:AK18"/>
    </sheetView>
  </sheetViews>
  <sheetFormatPr defaultColWidth="8.8515625" defaultRowHeight="12.75"/>
  <cols>
    <col min="1" max="2" width="8.8515625" style="0" customWidth="1"/>
    <col min="3" max="3" width="19.00390625" style="0" customWidth="1"/>
  </cols>
  <sheetData>
    <row r="1" spans="1:8" ht="12.75">
      <c r="A1" s="388" t="s">
        <v>545</v>
      </c>
      <c r="F1" s="390" t="s">
        <v>775</v>
      </c>
      <c r="H1" t="s">
        <v>112</v>
      </c>
    </row>
    <row r="3" ht="12.75">
      <c r="A3" s="388" t="s">
        <v>558</v>
      </c>
    </row>
    <row r="5" spans="3:38" ht="12.75">
      <c r="C5" s="799" t="s">
        <v>113</v>
      </c>
      <c r="D5" s="800"/>
      <c r="E5" s="800"/>
      <c r="F5" s="800"/>
      <c r="G5" s="800"/>
      <c r="H5" s="800"/>
      <c r="I5" s="799"/>
      <c r="J5" s="800"/>
      <c r="K5" s="800"/>
      <c r="L5" s="800"/>
      <c r="M5" s="800"/>
      <c r="N5" s="800"/>
      <c r="O5" s="800"/>
      <c r="P5" s="800"/>
      <c r="Q5" s="800"/>
      <c r="R5" s="800"/>
      <c r="S5" s="800"/>
      <c r="T5" s="800"/>
      <c r="U5" s="800"/>
      <c r="V5" s="800"/>
      <c r="W5" s="800"/>
      <c r="X5" s="800"/>
      <c r="Y5" s="800"/>
      <c r="Z5" s="800"/>
      <c r="AA5" s="800"/>
      <c r="AB5" s="800"/>
      <c r="AC5" s="800"/>
      <c r="AD5" s="800"/>
      <c r="AE5" s="800"/>
      <c r="AF5" s="800"/>
      <c r="AG5" s="800"/>
      <c r="AH5" s="800"/>
      <c r="AI5" s="800"/>
      <c r="AJ5" s="800"/>
      <c r="AK5" s="800"/>
      <c r="AL5" s="801"/>
    </row>
    <row r="6" spans="3:38" ht="12.75">
      <c r="C6" s="802"/>
      <c r="D6" s="803"/>
      <c r="E6" s="803"/>
      <c r="F6" s="803"/>
      <c r="G6" s="803"/>
      <c r="H6" s="803"/>
      <c r="I6" s="803"/>
      <c r="J6" s="803"/>
      <c r="K6" s="803"/>
      <c r="L6" s="803"/>
      <c r="M6" s="803"/>
      <c r="N6" s="803"/>
      <c r="O6" s="803"/>
      <c r="P6" s="803"/>
      <c r="Q6" s="803"/>
      <c r="R6" s="803"/>
      <c r="S6" s="803"/>
      <c r="T6" s="803"/>
      <c r="U6" s="803"/>
      <c r="V6" s="803"/>
      <c r="W6" s="803"/>
      <c r="X6" s="803"/>
      <c r="Y6" s="803"/>
      <c r="Z6" s="803"/>
      <c r="AA6" s="803"/>
      <c r="AB6" s="803"/>
      <c r="AC6" s="803"/>
      <c r="AD6" s="803"/>
      <c r="AE6" s="803"/>
      <c r="AF6" s="803"/>
      <c r="AG6" s="803"/>
      <c r="AH6" s="803"/>
      <c r="AI6" s="803"/>
      <c r="AJ6" s="803"/>
      <c r="AK6" s="803"/>
      <c r="AL6" s="804"/>
    </row>
    <row r="7" spans="3:38" ht="12.75">
      <c r="C7" s="802"/>
      <c r="D7" s="1502" t="s">
        <v>105</v>
      </c>
      <c r="E7" s="1503"/>
      <c r="F7" s="1503"/>
      <c r="G7" s="1503"/>
      <c r="H7" s="1503"/>
      <c r="I7" s="1503"/>
      <c r="J7" s="1503"/>
      <c r="K7" s="1503"/>
      <c r="L7" s="1503"/>
      <c r="M7" s="1503"/>
      <c r="N7" s="1503"/>
      <c r="O7" s="1503"/>
      <c r="P7" s="1503"/>
      <c r="Q7" s="1503"/>
      <c r="R7" s="1503"/>
      <c r="S7" s="1503"/>
      <c r="T7" s="1503"/>
      <c r="U7" s="1503"/>
      <c r="V7" s="1503"/>
      <c r="W7" s="1503"/>
      <c r="X7" s="1504"/>
      <c r="Y7" s="1499" t="s">
        <v>185</v>
      </c>
      <c r="Z7" s="1499" t="s">
        <v>186</v>
      </c>
      <c r="AA7" s="1499" t="s">
        <v>460</v>
      </c>
      <c r="AB7" s="1499" t="s">
        <v>461</v>
      </c>
      <c r="AC7" s="1499" t="s">
        <v>445</v>
      </c>
      <c r="AD7" s="1499" t="s">
        <v>587</v>
      </c>
      <c r="AE7" s="1499" t="s">
        <v>446</v>
      </c>
      <c r="AF7" s="1499" t="s">
        <v>447</v>
      </c>
      <c r="AG7" s="1499" t="s">
        <v>448</v>
      </c>
      <c r="AH7" s="1499" t="s">
        <v>328</v>
      </c>
      <c r="AI7" s="1499" t="s">
        <v>330</v>
      </c>
      <c r="AJ7" s="1499" t="s">
        <v>331</v>
      </c>
      <c r="AK7" s="1507" t="s">
        <v>343</v>
      </c>
      <c r="AL7" s="805"/>
    </row>
    <row r="8" spans="3:38" ht="12.75">
      <c r="C8" s="802"/>
      <c r="D8" s="1510" t="s">
        <v>339</v>
      </c>
      <c r="E8" s="1511"/>
      <c r="F8" s="1511"/>
      <c r="G8" s="1511"/>
      <c r="H8" s="1511"/>
      <c r="I8" s="1512"/>
      <c r="J8" s="1513" t="s">
        <v>181</v>
      </c>
      <c r="K8" s="1514"/>
      <c r="L8" s="1514"/>
      <c r="M8" s="1514"/>
      <c r="N8" s="1514"/>
      <c r="O8" s="1514"/>
      <c r="P8" s="1514"/>
      <c r="Q8" s="1514"/>
      <c r="R8" s="1514"/>
      <c r="S8" s="1514"/>
      <c r="T8" s="1514"/>
      <c r="U8" s="1514"/>
      <c r="V8" s="1514"/>
      <c r="W8" s="1514"/>
      <c r="X8" s="1515"/>
      <c r="Y8" s="1500"/>
      <c r="Z8" s="1500"/>
      <c r="AA8" s="1500"/>
      <c r="AB8" s="1500"/>
      <c r="AC8" s="1500"/>
      <c r="AD8" s="1500"/>
      <c r="AE8" s="1500"/>
      <c r="AF8" s="1500"/>
      <c r="AG8" s="1500"/>
      <c r="AH8" s="1500"/>
      <c r="AI8" s="1500"/>
      <c r="AJ8" s="1500"/>
      <c r="AK8" s="1508"/>
      <c r="AL8" s="805"/>
    </row>
    <row r="9" spans="3:38" s="829" customFormat="1" ht="131.25">
      <c r="C9" s="830" t="s">
        <v>219</v>
      </c>
      <c r="D9" s="831" t="s">
        <v>323</v>
      </c>
      <c r="E9" s="831" t="s">
        <v>179</v>
      </c>
      <c r="F9" s="831" t="s">
        <v>180</v>
      </c>
      <c r="G9" s="831" t="s">
        <v>761</v>
      </c>
      <c r="H9" s="831" t="s">
        <v>38</v>
      </c>
      <c r="I9" s="831" t="s">
        <v>763</v>
      </c>
      <c r="J9" s="831" t="s">
        <v>588</v>
      </c>
      <c r="K9" s="832" t="s">
        <v>589</v>
      </c>
      <c r="L9" s="832" t="s">
        <v>590</v>
      </c>
      <c r="M9" s="832" t="s">
        <v>591</v>
      </c>
      <c r="N9" s="832" t="s">
        <v>592</v>
      </c>
      <c r="O9" s="832" t="s">
        <v>593</v>
      </c>
      <c r="P9" s="832" t="s">
        <v>784</v>
      </c>
      <c r="Q9" s="832" t="s">
        <v>785</v>
      </c>
      <c r="R9" s="832" t="s">
        <v>471</v>
      </c>
      <c r="S9" s="832" t="s">
        <v>347</v>
      </c>
      <c r="T9" s="832" t="s">
        <v>470</v>
      </c>
      <c r="U9" s="832" t="s">
        <v>602</v>
      </c>
      <c r="V9" s="832" t="s">
        <v>220</v>
      </c>
      <c r="W9" s="832" t="s">
        <v>730</v>
      </c>
      <c r="X9" s="832" t="s">
        <v>184</v>
      </c>
      <c r="Y9" s="1501"/>
      <c r="Z9" s="1501"/>
      <c r="AA9" s="1501"/>
      <c r="AB9" s="1501"/>
      <c r="AC9" s="1501"/>
      <c r="AD9" s="1501"/>
      <c r="AE9" s="1501"/>
      <c r="AF9" s="1501"/>
      <c r="AG9" s="1501"/>
      <c r="AH9" s="1501"/>
      <c r="AI9" s="1501"/>
      <c r="AJ9" s="1501"/>
      <c r="AK9" s="1509"/>
      <c r="AL9" s="833"/>
    </row>
    <row r="10" spans="3:38" ht="12.75">
      <c r="C10" s="806"/>
      <c r="D10" s="807" t="s">
        <v>688</v>
      </c>
      <c r="E10" s="807" t="s">
        <v>688</v>
      </c>
      <c r="F10" s="807" t="s">
        <v>688</v>
      </c>
      <c r="G10" s="807" t="s">
        <v>688</v>
      </c>
      <c r="H10" s="807" t="s">
        <v>688</v>
      </c>
      <c r="I10" s="807" t="s">
        <v>688</v>
      </c>
      <c r="J10" s="807" t="s">
        <v>688</v>
      </c>
      <c r="K10" s="807" t="s">
        <v>688</v>
      </c>
      <c r="L10" s="807" t="s">
        <v>688</v>
      </c>
      <c r="M10" s="807" t="s">
        <v>688</v>
      </c>
      <c r="N10" s="807" t="s">
        <v>688</v>
      </c>
      <c r="O10" s="807" t="s">
        <v>688</v>
      </c>
      <c r="P10" s="807" t="s">
        <v>688</v>
      </c>
      <c r="Q10" s="807" t="s">
        <v>688</v>
      </c>
      <c r="R10" s="807" t="s">
        <v>688</v>
      </c>
      <c r="S10" s="807" t="s">
        <v>688</v>
      </c>
      <c r="T10" s="807" t="s">
        <v>688</v>
      </c>
      <c r="U10" s="807" t="s">
        <v>688</v>
      </c>
      <c r="V10" s="807" t="s">
        <v>688</v>
      </c>
      <c r="W10" s="807" t="s">
        <v>688</v>
      </c>
      <c r="X10" s="807" t="s">
        <v>688</v>
      </c>
      <c r="Y10" s="807" t="s">
        <v>688</v>
      </c>
      <c r="Z10" s="807" t="s">
        <v>688</v>
      </c>
      <c r="AA10" s="807" t="s">
        <v>688</v>
      </c>
      <c r="AB10" s="807" t="s">
        <v>688</v>
      </c>
      <c r="AC10" s="807" t="s">
        <v>688</v>
      </c>
      <c r="AD10" s="807" t="s">
        <v>688</v>
      </c>
      <c r="AE10" s="807" t="s">
        <v>688</v>
      </c>
      <c r="AF10" s="807" t="s">
        <v>688</v>
      </c>
      <c r="AG10" s="807" t="s">
        <v>688</v>
      </c>
      <c r="AH10" s="807" t="s">
        <v>688</v>
      </c>
      <c r="AI10" s="807" t="s">
        <v>688</v>
      </c>
      <c r="AJ10" s="807" t="s">
        <v>688</v>
      </c>
      <c r="AK10" s="807" t="s">
        <v>688</v>
      </c>
      <c r="AL10" s="804"/>
    </row>
    <row r="11" spans="3:38" ht="12.75">
      <c r="C11" s="808"/>
      <c r="D11" s="809"/>
      <c r="E11" s="809"/>
      <c r="F11" s="809"/>
      <c r="G11" s="809"/>
      <c r="H11" s="809"/>
      <c r="I11" s="809"/>
      <c r="J11" s="809"/>
      <c r="K11" s="809"/>
      <c r="L11" s="809"/>
      <c r="M11" s="809"/>
      <c r="N11" s="809"/>
      <c r="O11" s="809"/>
      <c r="P11" s="809"/>
      <c r="Q11" s="809"/>
      <c r="R11" s="809"/>
      <c r="S11" s="809"/>
      <c r="T11" s="809"/>
      <c r="U11" s="809"/>
      <c r="V11" s="809"/>
      <c r="W11" s="809"/>
      <c r="X11" s="809"/>
      <c r="Y11" s="809"/>
      <c r="Z11" s="809"/>
      <c r="AA11" s="809"/>
      <c r="AB11" s="809"/>
      <c r="AC11" s="809"/>
      <c r="AD11" s="809"/>
      <c r="AE11" s="809"/>
      <c r="AF11" s="809"/>
      <c r="AG11" s="809"/>
      <c r="AH11" s="809"/>
      <c r="AI11" s="809"/>
      <c r="AJ11" s="809"/>
      <c r="AK11" s="809"/>
      <c r="AL11" s="804"/>
    </row>
    <row r="12" spans="3:38" ht="12.75">
      <c r="C12" s="810" t="s">
        <v>222</v>
      </c>
      <c r="D12" s="811">
        <v>-0.5000000000000018</v>
      </c>
      <c r="E12" s="811">
        <v>32.3</v>
      </c>
      <c r="F12" s="811">
        <v>3</v>
      </c>
      <c r="G12" s="811">
        <v>8.3</v>
      </c>
      <c r="H12" s="811">
        <v>5.5</v>
      </c>
      <c r="I12" s="811">
        <v>4.1</v>
      </c>
      <c r="J12" s="811">
        <v>0.6</v>
      </c>
      <c r="K12" s="811">
        <v>3.5</v>
      </c>
      <c r="L12" s="811">
        <v>2.9</v>
      </c>
      <c r="M12" s="811">
        <v>7.2</v>
      </c>
      <c r="N12" s="811">
        <v>1.9</v>
      </c>
      <c r="O12" s="811">
        <v>1</v>
      </c>
      <c r="P12" s="811">
        <v>0.7</v>
      </c>
      <c r="Q12" s="811">
        <v>0.9</v>
      </c>
      <c r="R12" s="811">
        <v>2.7</v>
      </c>
      <c r="S12" s="811">
        <v>6.8</v>
      </c>
      <c r="T12" s="811">
        <v>2.1</v>
      </c>
      <c r="U12" s="811">
        <v>0.9</v>
      </c>
      <c r="V12" s="811">
        <v>1.1</v>
      </c>
      <c r="W12" s="811">
        <v>5.8</v>
      </c>
      <c r="X12" s="811">
        <v>1.8</v>
      </c>
      <c r="Y12" s="811">
        <v>4.3</v>
      </c>
      <c r="Z12" s="811">
        <v>13.4</v>
      </c>
      <c r="AA12" s="811">
        <v>1.8</v>
      </c>
      <c r="AB12" s="811">
        <v>8.9</v>
      </c>
      <c r="AC12" s="811">
        <v>-0.1</v>
      </c>
      <c r="AD12" s="811">
        <v>0.1</v>
      </c>
      <c r="AE12" s="811">
        <v>-2.7755575615628914E-17</v>
      </c>
      <c r="AF12" s="811">
        <v>25.3</v>
      </c>
      <c r="AG12" s="811">
        <v>15.1</v>
      </c>
      <c r="AH12" s="811">
        <v>4.2</v>
      </c>
      <c r="AI12" s="811">
        <v>0</v>
      </c>
      <c r="AJ12" s="811">
        <v>-2.9000000000000057</v>
      </c>
      <c r="AK12" s="811">
        <v>162.7</v>
      </c>
      <c r="AL12" s="812"/>
    </row>
    <row r="13" spans="3:38" ht="12.75">
      <c r="C13" s="810" t="s">
        <v>223</v>
      </c>
      <c r="D13" s="813"/>
      <c r="E13" s="813"/>
      <c r="F13" s="813"/>
      <c r="G13" s="813"/>
      <c r="H13" s="813"/>
      <c r="I13" s="813"/>
      <c r="J13" s="813"/>
      <c r="K13" s="813"/>
      <c r="L13" s="813"/>
      <c r="M13" s="813"/>
      <c r="N13" s="813"/>
      <c r="O13" s="813"/>
      <c r="P13" s="813"/>
      <c r="Q13" s="813"/>
      <c r="R13" s="813"/>
      <c r="S13" s="813"/>
      <c r="T13" s="813"/>
      <c r="U13" s="813"/>
      <c r="V13" s="813"/>
      <c r="W13" s="813"/>
      <c r="X13" s="813"/>
      <c r="Y13" s="813"/>
      <c r="Z13" s="813"/>
      <c r="AA13" s="813"/>
      <c r="AB13" s="813"/>
      <c r="AC13" s="813"/>
      <c r="AD13" s="813"/>
      <c r="AE13" s="813"/>
      <c r="AF13" s="813"/>
      <c r="AG13" s="813"/>
      <c r="AH13" s="813"/>
      <c r="AI13" s="813"/>
      <c r="AJ13" s="813"/>
      <c r="AK13" s="814">
        <v>0</v>
      </c>
      <c r="AL13" s="812"/>
    </row>
    <row r="14" spans="3:38" ht="12.75">
      <c r="C14" s="810" t="s">
        <v>222</v>
      </c>
      <c r="D14" s="811">
        <v>-0.5000000000000018</v>
      </c>
      <c r="E14" s="811">
        <v>32.3</v>
      </c>
      <c r="F14" s="811">
        <v>3</v>
      </c>
      <c r="G14" s="811">
        <v>8.3</v>
      </c>
      <c r="H14" s="811">
        <v>5.5</v>
      </c>
      <c r="I14" s="811">
        <v>4.1</v>
      </c>
      <c r="J14" s="811">
        <v>0.6</v>
      </c>
      <c r="K14" s="811">
        <v>3.5</v>
      </c>
      <c r="L14" s="811">
        <v>2.9</v>
      </c>
      <c r="M14" s="811">
        <v>7.2</v>
      </c>
      <c r="N14" s="811">
        <v>1.9</v>
      </c>
      <c r="O14" s="811">
        <v>1</v>
      </c>
      <c r="P14" s="811">
        <v>0.7</v>
      </c>
      <c r="Q14" s="811">
        <v>0.9</v>
      </c>
      <c r="R14" s="811">
        <v>2.7</v>
      </c>
      <c r="S14" s="811">
        <v>6.8</v>
      </c>
      <c r="T14" s="811">
        <v>2.1</v>
      </c>
      <c r="U14" s="811">
        <v>0.9</v>
      </c>
      <c r="V14" s="811">
        <v>1.1</v>
      </c>
      <c r="W14" s="811">
        <v>5.8</v>
      </c>
      <c r="X14" s="811">
        <v>1.8</v>
      </c>
      <c r="Y14" s="811">
        <v>4.3</v>
      </c>
      <c r="Z14" s="811">
        <v>13.4</v>
      </c>
      <c r="AA14" s="811">
        <v>1.8</v>
      </c>
      <c r="AB14" s="811">
        <v>8.9</v>
      </c>
      <c r="AC14" s="811">
        <v>-0.1</v>
      </c>
      <c r="AD14" s="811">
        <v>0.1</v>
      </c>
      <c r="AE14" s="811">
        <v>-2.7755575615628914E-17</v>
      </c>
      <c r="AF14" s="811">
        <v>25.3</v>
      </c>
      <c r="AG14" s="811">
        <v>15.1</v>
      </c>
      <c r="AH14" s="811">
        <v>4.2</v>
      </c>
      <c r="AI14" s="811">
        <v>0</v>
      </c>
      <c r="AJ14" s="811">
        <v>-2.9000000000000057</v>
      </c>
      <c r="AK14" s="811">
        <v>162.7</v>
      </c>
      <c r="AL14" s="812"/>
    </row>
    <row r="15" spans="3:38" ht="12.75">
      <c r="C15" s="810"/>
      <c r="D15" s="811"/>
      <c r="E15" s="811"/>
      <c r="F15" s="811"/>
      <c r="G15" s="811"/>
      <c r="H15" s="811"/>
      <c r="I15" s="811"/>
      <c r="J15" s="811"/>
      <c r="K15" s="811"/>
      <c r="L15" s="811"/>
      <c r="M15" s="811"/>
      <c r="N15" s="811"/>
      <c r="O15" s="811"/>
      <c r="P15" s="811"/>
      <c r="Q15" s="811"/>
      <c r="R15" s="811"/>
      <c r="S15" s="811"/>
      <c r="T15" s="811"/>
      <c r="U15" s="811"/>
      <c r="V15" s="811"/>
      <c r="W15" s="811"/>
      <c r="X15" s="811"/>
      <c r="Y15" s="811"/>
      <c r="Z15" s="811"/>
      <c r="AA15" s="811"/>
      <c r="AB15" s="811"/>
      <c r="AC15" s="811"/>
      <c r="AD15" s="811"/>
      <c r="AE15" s="811"/>
      <c r="AF15" s="811"/>
      <c r="AG15" s="811"/>
      <c r="AH15" s="811"/>
      <c r="AI15" s="811"/>
      <c r="AJ15" s="811"/>
      <c r="AK15" s="811"/>
      <c r="AL15" s="812"/>
    </row>
    <row r="16" spans="3:38" ht="12.75">
      <c r="C16" s="810" t="s">
        <v>224</v>
      </c>
      <c r="D16" s="811">
        <v>2.8</v>
      </c>
      <c r="E16" s="811">
        <v>25.5</v>
      </c>
      <c r="F16" s="811">
        <v>4.3</v>
      </c>
      <c r="G16" s="811">
        <v>8.6</v>
      </c>
      <c r="H16" s="811">
        <v>5.3</v>
      </c>
      <c r="I16" s="811">
        <v>2.9</v>
      </c>
      <c r="J16" s="811">
        <v>0.6</v>
      </c>
      <c r="K16" s="811">
        <v>3</v>
      </c>
      <c r="L16" s="811">
        <v>2.2</v>
      </c>
      <c r="M16" s="811">
        <v>5.2</v>
      </c>
      <c r="N16" s="811">
        <v>1.9</v>
      </c>
      <c r="O16" s="811">
        <v>0.8</v>
      </c>
      <c r="P16" s="811">
        <v>0.6</v>
      </c>
      <c r="Q16" s="811">
        <v>1.6</v>
      </c>
      <c r="R16" s="811">
        <v>2.8</v>
      </c>
      <c r="S16" s="811">
        <v>6.3</v>
      </c>
      <c r="T16" s="811">
        <v>2.1</v>
      </c>
      <c r="U16" s="811">
        <v>1</v>
      </c>
      <c r="V16" s="811">
        <v>0.9</v>
      </c>
      <c r="W16" s="811">
        <v>4.8</v>
      </c>
      <c r="X16" s="811">
        <v>1.5</v>
      </c>
      <c r="Y16" s="811">
        <v>4.9</v>
      </c>
      <c r="Z16" s="811">
        <v>6.9</v>
      </c>
      <c r="AA16" s="811">
        <v>5.9</v>
      </c>
      <c r="AB16" s="811">
        <v>13.7</v>
      </c>
      <c r="AC16" s="811">
        <v>0.2</v>
      </c>
      <c r="AD16" s="811">
        <v>0</v>
      </c>
      <c r="AE16" s="811">
        <v>0</v>
      </c>
      <c r="AF16" s="811">
        <v>33.9</v>
      </c>
      <c r="AG16" s="811">
        <v>14.6</v>
      </c>
      <c r="AH16" s="811">
        <v>4.2</v>
      </c>
      <c r="AI16" s="811">
        <v>0</v>
      </c>
      <c r="AJ16" s="811">
        <v>-8.800000000000011</v>
      </c>
      <c r="AK16" s="811">
        <v>160.2</v>
      </c>
      <c r="AL16" s="815"/>
    </row>
    <row r="17" spans="3:38" ht="12.75">
      <c r="C17" s="810"/>
      <c r="D17" s="811"/>
      <c r="E17" s="811"/>
      <c r="F17" s="811"/>
      <c r="G17" s="811"/>
      <c r="H17" s="811"/>
      <c r="I17" s="811"/>
      <c r="J17" s="811"/>
      <c r="K17" s="811"/>
      <c r="L17" s="811"/>
      <c r="M17" s="811"/>
      <c r="N17" s="811"/>
      <c r="O17" s="811"/>
      <c r="P17" s="811"/>
      <c r="Q17" s="811"/>
      <c r="R17" s="811"/>
      <c r="S17" s="811"/>
      <c r="T17" s="811"/>
      <c r="U17" s="811"/>
      <c r="V17" s="811"/>
      <c r="W17" s="811"/>
      <c r="X17" s="811"/>
      <c r="Y17" s="811"/>
      <c r="Z17" s="811"/>
      <c r="AA17" s="811"/>
      <c r="AB17" s="811"/>
      <c r="AC17" s="811"/>
      <c r="AD17" s="811"/>
      <c r="AE17" s="811"/>
      <c r="AF17" s="811"/>
      <c r="AG17" s="811"/>
      <c r="AH17" s="811"/>
      <c r="AI17" s="811"/>
      <c r="AJ17" s="811"/>
      <c r="AK17" s="811"/>
      <c r="AL17" s="815"/>
    </row>
    <row r="18" spans="3:38" ht="12.75">
      <c r="C18" s="810" t="s">
        <v>225</v>
      </c>
      <c r="D18" s="811">
        <v>5.5</v>
      </c>
      <c r="E18" s="811">
        <v>17.3</v>
      </c>
      <c r="F18" s="811">
        <v>2.4</v>
      </c>
      <c r="G18" s="811">
        <v>8.1</v>
      </c>
      <c r="H18" s="811">
        <v>6.8</v>
      </c>
      <c r="I18" s="811">
        <v>3.3</v>
      </c>
      <c r="J18" s="811">
        <v>0.6</v>
      </c>
      <c r="K18" s="811">
        <v>3.2</v>
      </c>
      <c r="L18" s="811">
        <v>2.3</v>
      </c>
      <c r="M18" s="811">
        <v>6.5</v>
      </c>
      <c r="N18" s="811">
        <v>2.5</v>
      </c>
      <c r="O18" s="811">
        <v>0.8</v>
      </c>
      <c r="P18" s="811">
        <v>0.9</v>
      </c>
      <c r="Q18" s="811">
        <v>1.5</v>
      </c>
      <c r="R18" s="811">
        <v>2.9</v>
      </c>
      <c r="S18" s="811">
        <v>6.2</v>
      </c>
      <c r="T18" s="811">
        <v>2.2</v>
      </c>
      <c r="U18" s="811">
        <v>0.8</v>
      </c>
      <c r="V18" s="811">
        <v>0.7</v>
      </c>
      <c r="W18" s="811">
        <v>4</v>
      </c>
      <c r="X18" s="811">
        <v>1.9</v>
      </c>
      <c r="Y18" s="811">
        <v>1.6</v>
      </c>
      <c r="Z18" s="811">
        <v>4.3</v>
      </c>
      <c r="AA18" s="811">
        <v>5.1</v>
      </c>
      <c r="AB18" s="811">
        <v>5</v>
      </c>
      <c r="AC18" s="811">
        <v>0</v>
      </c>
      <c r="AD18" s="811">
        <v>0</v>
      </c>
      <c r="AE18" s="811">
        <v>0</v>
      </c>
      <c r="AF18" s="811">
        <v>31.395595999999998</v>
      </c>
      <c r="AG18" s="811">
        <v>14.3</v>
      </c>
      <c r="AH18" s="811">
        <v>3.9</v>
      </c>
      <c r="AI18" s="811">
        <v>-0.9</v>
      </c>
      <c r="AJ18" s="811">
        <v>-4.895595999999983</v>
      </c>
      <c r="AK18" s="811">
        <v>140.2</v>
      </c>
      <c r="AL18" s="815"/>
    </row>
    <row r="19" spans="3:38" ht="12.75">
      <c r="C19" s="816"/>
      <c r="D19" s="817"/>
      <c r="E19" s="817"/>
      <c r="F19" s="817"/>
      <c r="G19" s="817"/>
      <c r="H19" s="817"/>
      <c r="I19" s="817"/>
      <c r="J19" s="817"/>
      <c r="K19" s="817"/>
      <c r="L19" s="817"/>
      <c r="M19" s="817"/>
      <c r="N19" s="817"/>
      <c r="O19" s="817"/>
      <c r="P19" s="817"/>
      <c r="Q19" s="817"/>
      <c r="R19" s="817"/>
      <c r="S19" s="817"/>
      <c r="T19" s="817"/>
      <c r="U19" s="817"/>
      <c r="V19" s="817"/>
      <c r="W19" s="817"/>
      <c r="X19" s="817"/>
      <c r="Y19" s="817"/>
      <c r="Z19" s="817"/>
      <c r="AA19" s="817"/>
      <c r="AB19" s="817"/>
      <c r="AC19" s="817"/>
      <c r="AD19" s="817"/>
      <c r="AE19" s="817"/>
      <c r="AF19" s="817"/>
      <c r="AG19" s="817"/>
      <c r="AH19" s="817"/>
      <c r="AI19" s="817"/>
      <c r="AJ19" s="817"/>
      <c r="AK19" s="817"/>
      <c r="AL19" s="812"/>
    </row>
    <row r="20" spans="3:38" ht="12.75">
      <c r="C20" s="803"/>
      <c r="D20" s="818"/>
      <c r="E20" s="818"/>
      <c r="F20" s="818"/>
      <c r="G20" s="818"/>
      <c r="H20" s="818"/>
      <c r="I20" s="818"/>
      <c r="J20" s="818"/>
      <c r="K20" s="818"/>
      <c r="L20" s="818"/>
      <c r="M20" s="818"/>
      <c r="N20" s="818"/>
      <c r="O20" s="818"/>
      <c r="P20" s="818"/>
      <c r="Q20" s="818"/>
      <c r="R20" s="818"/>
      <c r="S20" s="818"/>
      <c r="T20" s="818"/>
      <c r="U20" s="818"/>
      <c r="V20" s="818"/>
      <c r="W20" s="818"/>
      <c r="X20" s="818"/>
      <c r="Y20" s="818"/>
      <c r="Z20" s="818"/>
      <c r="AA20" s="818"/>
      <c r="AB20" s="818"/>
      <c r="AC20" s="818"/>
      <c r="AD20" s="818"/>
      <c r="AE20" s="818"/>
      <c r="AF20" s="818"/>
      <c r="AG20" s="818"/>
      <c r="AH20" s="818"/>
      <c r="AI20" s="818"/>
      <c r="AJ20" s="818"/>
      <c r="AK20" s="818"/>
      <c r="AL20" s="812"/>
    </row>
    <row r="21" spans="3:38" ht="12.75">
      <c r="C21" s="819" t="s">
        <v>195</v>
      </c>
      <c r="D21" s="819"/>
      <c r="E21" s="819"/>
      <c r="F21" s="820"/>
      <c r="G21" s="821"/>
      <c r="H21" s="821"/>
      <c r="I21" s="821"/>
      <c r="J21" s="821"/>
      <c r="K21" s="821"/>
      <c r="L21" s="821"/>
      <c r="M21" s="821"/>
      <c r="N21" s="821"/>
      <c r="O21" s="821"/>
      <c r="P21" s="821"/>
      <c r="Q21" s="821"/>
      <c r="R21" s="822"/>
      <c r="S21" s="819"/>
      <c r="T21" s="819"/>
      <c r="U21" s="819"/>
      <c r="V21" s="819"/>
      <c r="W21" s="819"/>
      <c r="X21" s="819"/>
      <c r="Y21" s="819"/>
      <c r="Z21" s="819"/>
      <c r="AA21" s="819"/>
      <c r="AB21" s="818"/>
      <c r="AC21" s="818"/>
      <c r="AD21" s="818"/>
      <c r="AE21" s="818"/>
      <c r="AF21" s="818"/>
      <c r="AG21" s="818"/>
      <c r="AH21" s="818"/>
      <c r="AI21" s="818"/>
      <c r="AJ21" s="818"/>
      <c r="AK21" s="818"/>
      <c r="AL21" s="812"/>
    </row>
    <row r="22" spans="3:38" ht="12.75">
      <c r="C22" s="819">
        <v>1</v>
      </c>
      <c r="D22" s="1505" t="s">
        <v>23</v>
      </c>
      <c r="E22" s="1506"/>
      <c r="F22" s="1506"/>
      <c r="G22" s="1506"/>
      <c r="H22" s="1506"/>
      <c r="I22" s="1506"/>
      <c r="J22" s="1506"/>
      <c r="K22" s="1506"/>
      <c r="L22" s="1506"/>
      <c r="M22" s="1506"/>
      <c r="N22" s="1506"/>
      <c r="O22" s="1506"/>
      <c r="P22" s="1506"/>
      <c r="Q22" s="1506"/>
      <c r="R22" s="1506"/>
      <c r="S22" s="1506"/>
      <c r="T22" s="1506"/>
      <c r="U22" s="1506"/>
      <c r="V22" s="1506"/>
      <c r="W22" s="1506"/>
      <c r="X22" s="1506"/>
      <c r="Y22" s="1506"/>
      <c r="Z22" s="1506"/>
      <c r="AA22" s="1506"/>
      <c r="AB22" s="818"/>
      <c r="AC22" s="818"/>
      <c r="AD22" s="818"/>
      <c r="AE22" s="818"/>
      <c r="AF22" s="818"/>
      <c r="AG22" s="818"/>
      <c r="AH22" s="818"/>
      <c r="AI22" s="818"/>
      <c r="AJ22" s="818"/>
      <c r="AK22" s="818"/>
      <c r="AL22" s="812"/>
    </row>
    <row r="23" spans="3:38" ht="12.75">
      <c r="C23" s="819">
        <v>2</v>
      </c>
      <c r="D23" s="1505" t="s">
        <v>114</v>
      </c>
      <c r="E23" s="1506"/>
      <c r="F23" s="1506"/>
      <c r="G23" s="1506"/>
      <c r="H23" s="1506"/>
      <c r="I23" s="1506"/>
      <c r="J23" s="1506"/>
      <c r="K23" s="1506"/>
      <c r="L23" s="1506"/>
      <c r="M23" s="1506"/>
      <c r="N23" s="1506"/>
      <c r="O23" s="1506"/>
      <c r="P23" s="1506"/>
      <c r="Q23" s="1506"/>
      <c r="R23" s="1506"/>
      <c r="S23" s="1506"/>
      <c r="T23" s="1506"/>
      <c r="U23" s="1506"/>
      <c r="V23" s="1506"/>
      <c r="W23" s="1506"/>
      <c r="X23" s="1506"/>
      <c r="Y23" s="1506"/>
      <c r="Z23" s="1506"/>
      <c r="AA23" s="1506"/>
      <c r="AB23" s="818"/>
      <c r="AC23" s="818"/>
      <c r="AD23" s="818"/>
      <c r="AE23" s="818"/>
      <c r="AF23" s="818"/>
      <c r="AG23" s="818"/>
      <c r="AH23" s="818"/>
      <c r="AI23" s="818"/>
      <c r="AJ23" s="818"/>
      <c r="AK23" s="818"/>
      <c r="AL23" s="812"/>
    </row>
    <row r="24" spans="3:38" ht="12.75">
      <c r="C24" s="819">
        <v>3</v>
      </c>
      <c r="D24" s="1505" t="s">
        <v>54</v>
      </c>
      <c r="E24" s="1506"/>
      <c r="F24" s="1506"/>
      <c r="G24" s="1506"/>
      <c r="H24" s="1506"/>
      <c r="I24" s="1506"/>
      <c r="J24" s="1506"/>
      <c r="K24" s="1506"/>
      <c r="L24" s="1506"/>
      <c r="M24" s="1506"/>
      <c r="N24" s="1506"/>
      <c r="O24" s="1506"/>
      <c r="P24" s="1506"/>
      <c r="Q24" s="1506"/>
      <c r="R24" s="1506"/>
      <c r="S24" s="1506"/>
      <c r="T24" s="1506"/>
      <c r="U24" s="1506"/>
      <c r="V24" s="1506"/>
      <c r="W24" s="1506"/>
      <c r="X24" s="1506"/>
      <c r="Y24" s="1506"/>
      <c r="Z24" s="1506"/>
      <c r="AA24" s="1506"/>
      <c r="AB24" s="818"/>
      <c r="AC24" s="818"/>
      <c r="AD24" s="818"/>
      <c r="AE24" s="818"/>
      <c r="AF24" s="818"/>
      <c r="AG24" s="818"/>
      <c r="AH24" s="818"/>
      <c r="AI24" s="818"/>
      <c r="AJ24" s="818"/>
      <c r="AK24" s="818"/>
      <c r="AL24" s="812"/>
    </row>
    <row r="25" spans="3:38" ht="12.75">
      <c r="C25" s="819">
        <v>4</v>
      </c>
      <c r="D25" s="1505" t="s">
        <v>115</v>
      </c>
      <c r="E25" s="1506"/>
      <c r="F25" s="1506"/>
      <c r="G25" s="1506"/>
      <c r="H25" s="1506"/>
      <c r="I25" s="1506"/>
      <c r="J25" s="1506"/>
      <c r="K25" s="1506"/>
      <c r="L25" s="1506"/>
      <c r="M25" s="1506"/>
      <c r="N25" s="1506"/>
      <c r="O25" s="1506"/>
      <c r="P25" s="1506"/>
      <c r="Q25" s="1506"/>
      <c r="R25" s="1506"/>
      <c r="S25" s="1506"/>
      <c r="T25" s="1506"/>
      <c r="U25" s="1506"/>
      <c r="V25" s="1506"/>
      <c r="W25" s="1506"/>
      <c r="X25" s="1506"/>
      <c r="Y25" s="1506"/>
      <c r="Z25" s="1506"/>
      <c r="AA25" s="1506"/>
      <c r="AB25" s="818"/>
      <c r="AC25" s="818"/>
      <c r="AD25" s="818"/>
      <c r="AE25" s="818"/>
      <c r="AF25" s="818"/>
      <c r="AG25" s="818"/>
      <c r="AH25" s="818"/>
      <c r="AI25" s="818"/>
      <c r="AJ25" s="818"/>
      <c r="AK25" s="818"/>
      <c r="AL25" s="812"/>
    </row>
    <row r="26" spans="3:38" ht="12.75">
      <c r="C26" s="819">
        <v>5</v>
      </c>
      <c r="D26" s="1505" t="s">
        <v>116</v>
      </c>
      <c r="E26" s="1506"/>
      <c r="F26" s="1506"/>
      <c r="G26" s="1506"/>
      <c r="H26" s="1506"/>
      <c r="I26" s="1506"/>
      <c r="J26" s="1506"/>
      <c r="K26" s="1506"/>
      <c r="L26" s="1506"/>
      <c r="M26" s="1506"/>
      <c r="N26" s="1506"/>
      <c r="O26" s="1506"/>
      <c r="P26" s="1506"/>
      <c r="Q26" s="1506"/>
      <c r="R26" s="1506"/>
      <c r="S26" s="1506"/>
      <c r="T26" s="1506"/>
      <c r="U26" s="1506"/>
      <c r="V26" s="1506"/>
      <c r="W26" s="1506"/>
      <c r="X26" s="1506"/>
      <c r="Y26" s="1506"/>
      <c r="Z26" s="1506"/>
      <c r="AA26" s="1506"/>
      <c r="AB26" s="818"/>
      <c r="AC26" s="818"/>
      <c r="AD26" s="818"/>
      <c r="AE26" s="818"/>
      <c r="AF26" s="818"/>
      <c r="AG26" s="818"/>
      <c r="AH26" s="818"/>
      <c r="AI26" s="818"/>
      <c r="AJ26" s="818"/>
      <c r="AK26" s="818"/>
      <c r="AL26" s="812"/>
    </row>
    <row r="27" spans="3:38" ht="12.75">
      <c r="C27" s="823"/>
      <c r="D27" s="824"/>
      <c r="E27" s="824"/>
      <c r="F27" s="824"/>
      <c r="G27" s="824"/>
      <c r="H27" s="824"/>
      <c r="I27" s="824"/>
      <c r="J27" s="824"/>
      <c r="K27" s="824"/>
      <c r="L27" s="824"/>
      <c r="M27" s="824"/>
      <c r="N27" s="824"/>
      <c r="O27" s="824"/>
      <c r="P27" s="824"/>
      <c r="Q27" s="824"/>
      <c r="R27" s="824"/>
      <c r="S27" s="824"/>
      <c r="T27" s="824"/>
      <c r="U27" s="824"/>
      <c r="V27" s="824"/>
      <c r="W27" s="824"/>
      <c r="X27" s="824"/>
      <c r="Y27" s="824"/>
      <c r="Z27" s="824"/>
      <c r="AA27" s="824"/>
      <c r="AB27" s="824"/>
      <c r="AC27" s="824"/>
      <c r="AD27" s="824"/>
      <c r="AE27" s="824"/>
      <c r="AF27" s="824"/>
      <c r="AG27" s="824"/>
      <c r="AH27" s="824"/>
      <c r="AI27" s="824"/>
      <c r="AJ27" s="824"/>
      <c r="AK27" s="824"/>
      <c r="AL27" s="825"/>
    </row>
  </sheetData>
  <sheetProtection/>
  <mergeCells count="21">
    <mergeCell ref="AK7:AK9"/>
    <mergeCell ref="D8:I8"/>
    <mergeCell ref="J8:X8"/>
    <mergeCell ref="AF7:AF9"/>
    <mergeCell ref="AG7:AG9"/>
    <mergeCell ref="AH7:AH9"/>
    <mergeCell ref="AI7:AI9"/>
    <mergeCell ref="AB7:AB9"/>
    <mergeCell ref="AC7:AC9"/>
    <mergeCell ref="D26:AA26"/>
    <mergeCell ref="D22:AA22"/>
    <mergeCell ref="D23:AA23"/>
    <mergeCell ref="D24:AA24"/>
    <mergeCell ref="D25:AA25"/>
    <mergeCell ref="AA7:AA9"/>
    <mergeCell ref="AJ7:AJ9"/>
    <mergeCell ref="AE7:AE9"/>
    <mergeCell ref="D7:X7"/>
    <mergeCell ref="Y7:Y9"/>
    <mergeCell ref="Z7:Z9"/>
    <mergeCell ref="AD7:AD9"/>
  </mergeCells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49"/>
  <sheetViews>
    <sheetView zoomScale="70" zoomScaleNormal="70" zoomScalePageLayoutView="0" workbookViewId="0" topLeftCell="A1">
      <selection activeCell="E11" sqref="E11:Q49"/>
    </sheetView>
  </sheetViews>
  <sheetFormatPr defaultColWidth="8.8515625" defaultRowHeight="12.75"/>
  <cols>
    <col min="1" max="2" width="8.8515625" style="0" customWidth="1"/>
    <col min="3" max="3" width="29.8515625" style="0" customWidth="1"/>
    <col min="4" max="4" width="8.8515625" style="0" customWidth="1"/>
    <col min="5" max="5" width="25.421875" style="0" customWidth="1"/>
    <col min="6" max="6" width="13.421875" style="0" customWidth="1"/>
  </cols>
  <sheetData>
    <row r="1" spans="1:5" ht="12.75">
      <c r="A1" s="388" t="s">
        <v>545</v>
      </c>
      <c r="E1" s="390" t="s">
        <v>775</v>
      </c>
    </row>
    <row r="2" ht="12.75">
      <c r="A2" s="388"/>
    </row>
    <row r="3" ht="12.75">
      <c r="A3" s="388" t="s">
        <v>558</v>
      </c>
    </row>
    <row r="5" spans="1:18" ht="16.5" thickBot="1">
      <c r="A5" s="951" t="s">
        <v>530</v>
      </c>
      <c r="B5" s="844"/>
      <c r="C5" s="844"/>
      <c r="D5" s="845"/>
      <c r="E5" s="844"/>
      <c r="F5" s="844"/>
      <c r="G5" s="844"/>
      <c r="H5" s="844"/>
      <c r="I5" s="844"/>
      <c r="J5" s="844"/>
      <c r="K5" s="844"/>
      <c r="L5" s="844"/>
      <c r="M5" s="844"/>
      <c r="N5" s="844"/>
      <c r="O5" s="844"/>
      <c r="P5" s="844"/>
      <c r="Q5" s="844"/>
      <c r="R5" s="844"/>
    </row>
    <row r="6" spans="1:18" ht="13.5" thickBot="1">
      <c r="A6" s="844"/>
      <c r="B6" s="844"/>
      <c r="C6" s="844"/>
      <c r="D6" s="845"/>
      <c r="E6" s="844"/>
      <c r="F6" s="844"/>
      <c r="G6" s="844"/>
      <c r="H6" s="844"/>
      <c r="I6" s="844"/>
      <c r="J6" s="844"/>
      <c r="K6" s="844"/>
      <c r="L6" s="844"/>
      <c r="M6" s="1571" t="s">
        <v>107</v>
      </c>
      <c r="N6" s="1572"/>
      <c r="O6" s="1572"/>
      <c r="P6" s="1572"/>
      <c r="Q6" s="1573"/>
      <c r="R6" s="844"/>
    </row>
    <row r="7" spans="1:18" s="958" customFormat="1" ht="13.5" thickBot="1">
      <c r="A7" s="952"/>
      <c r="B7" s="952"/>
      <c r="C7" s="952"/>
      <c r="D7" s="953"/>
      <c r="E7" s="1574" t="s">
        <v>531</v>
      </c>
      <c r="F7" s="1575"/>
      <c r="G7" s="1576"/>
      <c r="H7" s="954"/>
      <c r="I7" s="1577" t="s">
        <v>532</v>
      </c>
      <c r="J7" s="1578"/>
      <c r="K7" s="1579"/>
      <c r="L7" s="955"/>
      <c r="M7" s="1580" t="s">
        <v>531</v>
      </c>
      <c r="N7" s="1581"/>
      <c r="O7" s="1582"/>
      <c r="P7" s="956"/>
      <c r="Q7" s="1586" t="s">
        <v>761</v>
      </c>
      <c r="R7" s="957"/>
    </row>
    <row r="8" spans="1:18" ht="26.25" thickBot="1">
      <c r="A8" s="846"/>
      <c r="B8" s="846"/>
      <c r="C8" s="846"/>
      <c r="D8" s="848"/>
      <c r="E8" s="959"/>
      <c r="F8" s="960" t="s">
        <v>533</v>
      </c>
      <c r="G8" s="961"/>
      <c r="H8" s="954"/>
      <c r="I8" s="962" t="s">
        <v>533</v>
      </c>
      <c r="J8" s="842"/>
      <c r="K8" s="963" t="s">
        <v>534</v>
      </c>
      <c r="L8" s="834"/>
      <c r="M8" s="1583"/>
      <c r="N8" s="1584"/>
      <c r="O8" s="1585"/>
      <c r="P8" s="834"/>
      <c r="Q8" s="1587"/>
      <c r="R8" s="850"/>
    </row>
    <row r="9" spans="1:18" ht="16.5" thickBot="1">
      <c r="A9" s="1561" t="s">
        <v>535</v>
      </c>
      <c r="B9" s="1562"/>
      <c r="C9" s="1563"/>
      <c r="D9" s="851"/>
      <c r="E9" s="964" t="s">
        <v>536</v>
      </c>
      <c r="F9" s="965" t="s">
        <v>548</v>
      </c>
      <c r="G9" s="966" t="s">
        <v>549</v>
      </c>
      <c r="H9" s="967"/>
      <c r="I9" s="968" t="s">
        <v>549</v>
      </c>
      <c r="J9" s="969"/>
      <c r="K9" s="970" t="s">
        <v>549</v>
      </c>
      <c r="L9" s="971"/>
      <c r="M9" s="972" t="s">
        <v>536</v>
      </c>
      <c r="N9" s="973" t="s">
        <v>548</v>
      </c>
      <c r="O9" s="974" t="s">
        <v>549</v>
      </c>
      <c r="P9" s="971"/>
      <c r="Q9" s="970" t="s">
        <v>549</v>
      </c>
      <c r="R9" s="850"/>
    </row>
    <row r="10" spans="1:18" ht="16.5" thickBot="1">
      <c r="A10" s="1564"/>
      <c r="B10" s="1565"/>
      <c r="C10" s="1566"/>
      <c r="D10" s="851"/>
      <c r="E10" s="975" t="s">
        <v>688</v>
      </c>
      <c r="F10" s="976" t="s">
        <v>688</v>
      </c>
      <c r="G10" s="977" t="s">
        <v>688</v>
      </c>
      <c r="H10" s="978"/>
      <c r="I10" s="979" t="s">
        <v>688</v>
      </c>
      <c r="J10" s="969"/>
      <c r="K10" s="979" t="s">
        <v>688</v>
      </c>
      <c r="L10" s="971"/>
      <c r="M10" s="980" t="s">
        <v>688</v>
      </c>
      <c r="N10" s="981" t="s">
        <v>688</v>
      </c>
      <c r="O10" s="979" t="s">
        <v>688</v>
      </c>
      <c r="P10" s="971"/>
      <c r="Q10" s="979" t="s">
        <v>688</v>
      </c>
      <c r="R10" s="850"/>
    </row>
    <row r="11" spans="1:18" ht="14.25">
      <c r="A11" s="1567" t="s">
        <v>550</v>
      </c>
      <c r="B11" s="1569" t="s">
        <v>634</v>
      </c>
      <c r="C11" s="1570"/>
      <c r="D11" s="854"/>
      <c r="E11" s="1560">
        <v>0.1</v>
      </c>
      <c r="F11" s="1560">
        <v>0.3</v>
      </c>
      <c r="G11" s="1588">
        <v>0.4</v>
      </c>
      <c r="H11" s="855"/>
      <c r="I11" s="856">
        <v>0.6</v>
      </c>
      <c r="J11" s="848"/>
      <c r="K11" s="856"/>
      <c r="L11" s="850"/>
      <c r="M11" s="850"/>
      <c r="N11" s="850"/>
      <c r="O11" s="850"/>
      <c r="P11" s="850"/>
      <c r="Q11" s="850"/>
      <c r="R11" s="850"/>
    </row>
    <row r="12" spans="1:18" ht="14.25">
      <c r="A12" s="1568"/>
      <c r="B12" s="1550" t="s">
        <v>635</v>
      </c>
      <c r="C12" s="1551"/>
      <c r="D12" s="854"/>
      <c r="E12" s="1559"/>
      <c r="F12" s="1559"/>
      <c r="G12" s="1540"/>
      <c r="H12" s="855"/>
      <c r="I12" s="859">
        <v>1.4</v>
      </c>
      <c r="J12" s="848"/>
      <c r="K12" s="859"/>
      <c r="L12" s="850"/>
      <c r="M12" s="850"/>
      <c r="N12" s="850"/>
      <c r="O12" s="850"/>
      <c r="P12" s="850"/>
      <c r="Q12" s="850"/>
      <c r="R12" s="850"/>
    </row>
    <row r="13" spans="1:18" ht="14.25">
      <c r="A13" s="1552" t="s">
        <v>488</v>
      </c>
      <c r="B13" s="1555" t="s">
        <v>786</v>
      </c>
      <c r="C13" s="1556"/>
      <c r="D13" s="854"/>
      <c r="E13" s="860">
        <v>0.1</v>
      </c>
      <c r="F13" s="860">
        <v>0.1</v>
      </c>
      <c r="G13" s="861">
        <v>0.2</v>
      </c>
      <c r="H13" s="855"/>
      <c r="I13" s="859">
        <v>0.5</v>
      </c>
      <c r="J13" s="848"/>
      <c r="K13" s="859"/>
      <c r="L13" s="850"/>
      <c r="M13" s="850"/>
      <c r="N13" s="850"/>
      <c r="O13" s="850"/>
      <c r="P13" s="850"/>
      <c r="Q13" s="850"/>
      <c r="R13" s="850"/>
    </row>
    <row r="14" spans="1:18" ht="14.25">
      <c r="A14" s="1553"/>
      <c r="B14" s="1541" t="s">
        <v>551</v>
      </c>
      <c r="C14" s="1542"/>
      <c r="D14" s="854"/>
      <c r="E14" s="1557"/>
      <c r="F14" s="1557">
        <v>0.1</v>
      </c>
      <c r="G14" s="1538">
        <v>0.1</v>
      </c>
      <c r="H14" s="855"/>
      <c r="I14" s="859"/>
      <c r="J14" s="848"/>
      <c r="K14" s="859"/>
      <c r="L14" s="850"/>
      <c r="M14" s="850"/>
      <c r="N14" s="850"/>
      <c r="O14" s="850"/>
      <c r="P14" s="850"/>
      <c r="Q14" s="850"/>
      <c r="R14" s="850"/>
    </row>
    <row r="15" spans="1:18" ht="14.25">
      <c r="A15" s="1553"/>
      <c r="B15" s="1541" t="s">
        <v>552</v>
      </c>
      <c r="C15" s="1542"/>
      <c r="D15" s="854"/>
      <c r="E15" s="1558"/>
      <c r="F15" s="1558"/>
      <c r="G15" s="1539"/>
      <c r="H15" s="855"/>
      <c r="I15" s="859">
        <v>2.1</v>
      </c>
      <c r="J15" s="848"/>
      <c r="K15" s="859"/>
      <c r="L15" s="850"/>
      <c r="M15" s="850"/>
      <c r="N15" s="850"/>
      <c r="O15" s="850"/>
      <c r="P15" s="850"/>
      <c r="Q15" s="850"/>
      <c r="R15" s="850"/>
    </row>
    <row r="16" spans="1:18" ht="15" thickBot="1">
      <c r="A16" s="1554"/>
      <c r="B16" s="1543" t="s">
        <v>788</v>
      </c>
      <c r="C16" s="1544"/>
      <c r="D16" s="854"/>
      <c r="E16" s="1559"/>
      <c r="F16" s="1559"/>
      <c r="G16" s="1540"/>
      <c r="H16" s="855"/>
      <c r="I16" s="862">
        <v>0.3</v>
      </c>
      <c r="J16" s="848"/>
      <c r="K16" s="862"/>
      <c r="L16" s="850"/>
      <c r="M16" s="850"/>
      <c r="N16" s="850"/>
      <c r="O16" s="850"/>
      <c r="P16" s="850"/>
      <c r="Q16" s="850"/>
      <c r="R16" s="850"/>
    </row>
    <row r="17" spans="1:18" ht="14.25">
      <c r="A17" s="1527" t="s">
        <v>553</v>
      </c>
      <c r="B17" s="1546" t="s">
        <v>789</v>
      </c>
      <c r="C17" s="1547"/>
      <c r="D17" s="863"/>
      <c r="E17" s="860">
        <v>0.5</v>
      </c>
      <c r="F17" s="860">
        <v>0.1</v>
      </c>
      <c r="G17" s="861">
        <v>0.6</v>
      </c>
      <c r="H17" s="855"/>
      <c r="I17" s="864">
        <v>0.8</v>
      </c>
      <c r="J17" s="848"/>
      <c r="K17" s="864"/>
      <c r="L17" s="850"/>
      <c r="M17" s="850"/>
      <c r="N17" s="850"/>
      <c r="O17" s="850"/>
      <c r="P17" s="850"/>
      <c r="Q17" s="850"/>
      <c r="R17" s="850"/>
    </row>
    <row r="18" spans="1:18" ht="14.25">
      <c r="A18" s="1528"/>
      <c r="B18" s="1548" t="s">
        <v>649</v>
      </c>
      <c r="C18" s="1549"/>
      <c r="D18" s="865"/>
      <c r="E18" s="860"/>
      <c r="F18" s="860"/>
      <c r="G18" s="866">
        <v>0</v>
      </c>
      <c r="H18" s="855"/>
      <c r="I18" s="859">
        <v>1.5</v>
      </c>
      <c r="J18" s="848"/>
      <c r="K18" s="859"/>
      <c r="L18" s="850"/>
      <c r="M18" s="850"/>
      <c r="N18" s="850"/>
      <c r="O18" s="850"/>
      <c r="P18" s="850"/>
      <c r="Q18" s="850"/>
      <c r="R18" s="850"/>
    </row>
    <row r="19" spans="1:18" ht="15" thickBot="1">
      <c r="A19" s="1545"/>
      <c r="B19" s="1532" t="s">
        <v>298</v>
      </c>
      <c r="C19" s="1533"/>
      <c r="D19" s="863"/>
      <c r="E19" s="867">
        <v>0.1</v>
      </c>
      <c r="F19" s="868">
        <v>1.5</v>
      </c>
      <c r="G19" s="869">
        <v>1.6</v>
      </c>
      <c r="H19" s="855"/>
      <c r="I19" s="870">
        <v>0.2</v>
      </c>
      <c r="J19" s="848"/>
      <c r="K19" s="870"/>
      <c r="L19" s="850"/>
      <c r="M19" s="850"/>
      <c r="N19" s="850"/>
      <c r="O19" s="850"/>
      <c r="P19" s="850"/>
      <c r="Q19" s="850"/>
      <c r="R19" s="850"/>
    </row>
    <row r="20" spans="1:18" ht="14.25">
      <c r="A20" s="1526" t="s">
        <v>809</v>
      </c>
      <c r="B20" s="1530" t="s">
        <v>789</v>
      </c>
      <c r="C20" s="1531"/>
      <c r="D20" s="863"/>
      <c r="E20" s="860">
        <v>0.1</v>
      </c>
      <c r="F20" s="860"/>
      <c r="G20" s="871">
        <v>0.1</v>
      </c>
      <c r="H20" s="855"/>
      <c r="I20" s="856">
        <v>0.1</v>
      </c>
      <c r="J20" s="848"/>
      <c r="K20" s="856"/>
      <c r="L20" s="850"/>
      <c r="M20" s="850"/>
      <c r="N20" s="850"/>
      <c r="O20" s="850"/>
      <c r="P20" s="850"/>
      <c r="Q20" s="850"/>
      <c r="R20" s="850"/>
    </row>
    <row r="21" spans="1:18" ht="14.25">
      <c r="A21" s="1527"/>
      <c r="B21" s="857" t="s">
        <v>299</v>
      </c>
      <c r="C21" s="872"/>
      <c r="D21" s="873"/>
      <c r="E21" s="860"/>
      <c r="F21" s="860"/>
      <c r="G21" s="861">
        <v>0</v>
      </c>
      <c r="H21" s="855"/>
      <c r="I21" s="864"/>
      <c r="J21" s="848"/>
      <c r="K21" s="864"/>
      <c r="L21" s="850"/>
      <c r="M21" s="850"/>
      <c r="N21" s="850"/>
      <c r="O21" s="850"/>
      <c r="P21" s="850"/>
      <c r="Q21" s="850"/>
      <c r="R21" s="850"/>
    </row>
    <row r="22" spans="1:18" ht="14.25">
      <c r="A22" s="1528"/>
      <c r="B22" s="857" t="s">
        <v>300</v>
      </c>
      <c r="C22" s="872"/>
      <c r="D22" s="873"/>
      <c r="E22" s="860"/>
      <c r="F22" s="860"/>
      <c r="G22" s="866">
        <v>0</v>
      </c>
      <c r="H22" s="855"/>
      <c r="I22" s="859">
        <v>0.3</v>
      </c>
      <c r="J22" s="848"/>
      <c r="K22" s="859"/>
      <c r="L22" s="850"/>
      <c r="M22" s="850"/>
      <c r="N22" s="850"/>
      <c r="O22" s="850"/>
      <c r="P22" s="850"/>
      <c r="Q22" s="850"/>
      <c r="R22" s="850"/>
    </row>
    <row r="23" spans="1:18" ht="15" thickBot="1">
      <c r="A23" s="1529"/>
      <c r="B23" s="1532" t="s">
        <v>298</v>
      </c>
      <c r="C23" s="1533"/>
      <c r="D23" s="873"/>
      <c r="E23" s="867">
        <v>0.1</v>
      </c>
      <c r="F23" s="868">
        <v>0.7</v>
      </c>
      <c r="G23" s="874">
        <v>0.8</v>
      </c>
      <c r="H23" s="855"/>
      <c r="I23" s="862">
        <v>0.2</v>
      </c>
      <c r="J23" s="848"/>
      <c r="K23" s="862"/>
      <c r="L23" s="850"/>
      <c r="M23" s="850"/>
      <c r="N23" s="850"/>
      <c r="O23" s="850"/>
      <c r="P23" s="850"/>
      <c r="Q23" s="850"/>
      <c r="R23" s="850"/>
    </row>
    <row r="24" spans="1:18" ht="14.25">
      <c r="A24" s="1534" t="s">
        <v>807</v>
      </c>
      <c r="B24" s="1536" t="s">
        <v>789</v>
      </c>
      <c r="C24" s="1537"/>
      <c r="D24" s="875"/>
      <c r="E24" s="860">
        <v>0.2</v>
      </c>
      <c r="F24" s="860">
        <v>0.6</v>
      </c>
      <c r="G24" s="861">
        <v>0.8</v>
      </c>
      <c r="H24" s="855"/>
      <c r="I24" s="864"/>
      <c r="J24" s="848"/>
      <c r="K24" s="864"/>
      <c r="L24" s="850"/>
      <c r="M24" s="876"/>
      <c r="N24" s="876"/>
      <c r="O24" s="871"/>
      <c r="P24" s="850"/>
      <c r="Q24" s="856"/>
      <c r="R24" s="850"/>
    </row>
    <row r="25" spans="1:18" ht="14.25">
      <c r="A25" s="1535"/>
      <c r="B25" s="857" t="s">
        <v>299</v>
      </c>
      <c r="C25" s="858"/>
      <c r="D25" s="873"/>
      <c r="E25" s="860"/>
      <c r="F25" s="860"/>
      <c r="G25" s="866">
        <v>0</v>
      </c>
      <c r="H25" s="855"/>
      <c r="I25" s="859"/>
      <c r="J25" s="848"/>
      <c r="K25" s="859"/>
      <c r="L25" s="850"/>
      <c r="M25" s="877"/>
      <c r="N25" s="877"/>
      <c r="O25" s="866"/>
      <c r="P25" s="850"/>
      <c r="Q25" s="859"/>
      <c r="R25" s="850"/>
    </row>
    <row r="26" spans="1:18" ht="14.25">
      <c r="A26" s="1535"/>
      <c r="B26" s="857" t="s">
        <v>300</v>
      </c>
      <c r="C26" s="858"/>
      <c r="D26" s="873"/>
      <c r="E26" s="860"/>
      <c r="F26" s="860"/>
      <c r="G26" s="866">
        <v>0</v>
      </c>
      <c r="H26" s="855"/>
      <c r="I26" s="859"/>
      <c r="J26" s="848"/>
      <c r="K26" s="859"/>
      <c r="L26" s="850"/>
      <c r="M26" s="877"/>
      <c r="N26" s="877"/>
      <c r="O26" s="866"/>
      <c r="P26" s="850"/>
      <c r="Q26" s="859"/>
      <c r="R26" s="850"/>
    </row>
    <row r="27" spans="1:18" ht="15" thickBot="1">
      <c r="A27" s="1535"/>
      <c r="B27" s="1532" t="s">
        <v>298</v>
      </c>
      <c r="C27" s="1533"/>
      <c r="D27" s="873"/>
      <c r="E27" s="860">
        <v>0.1</v>
      </c>
      <c r="F27" s="860">
        <v>0.5</v>
      </c>
      <c r="G27" s="869">
        <v>0.6</v>
      </c>
      <c r="H27" s="855"/>
      <c r="I27" s="870"/>
      <c r="J27" s="848"/>
      <c r="K27" s="870"/>
      <c r="L27" s="850"/>
      <c r="M27" s="867"/>
      <c r="N27" s="867"/>
      <c r="O27" s="874"/>
      <c r="P27" s="850"/>
      <c r="Q27" s="862"/>
      <c r="R27" s="850"/>
    </row>
    <row r="28" spans="1:18" ht="15" thickBot="1">
      <c r="A28" s="1516" t="s">
        <v>301</v>
      </c>
      <c r="B28" s="1525"/>
      <c r="C28" s="878"/>
      <c r="D28" s="873"/>
      <c r="E28" s="860"/>
      <c r="F28" s="860"/>
      <c r="G28" s="879"/>
      <c r="H28" s="855"/>
      <c r="I28" s="880"/>
      <c r="J28" s="848"/>
      <c r="K28" s="880"/>
      <c r="L28" s="850"/>
      <c r="M28" s="881"/>
      <c r="N28" s="881"/>
      <c r="O28" s="879"/>
      <c r="P28" s="850"/>
      <c r="Q28" s="880"/>
      <c r="R28" s="850"/>
    </row>
    <row r="29" spans="1:18" ht="15.75" thickBot="1">
      <c r="A29" s="1516" t="s">
        <v>419</v>
      </c>
      <c r="B29" s="1517"/>
      <c r="C29" s="1518"/>
      <c r="D29" s="882"/>
      <c r="E29" s="883"/>
      <c r="F29" s="884"/>
      <c r="G29" s="885"/>
      <c r="H29" s="886"/>
      <c r="I29" s="887">
        <v>1</v>
      </c>
      <c r="J29" s="848"/>
      <c r="K29" s="887"/>
      <c r="L29" s="888"/>
      <c r="M29" s="889"/>
      <c r="N29" s="890"/>
      <c r="O29" s="885"/>
      <c r="P29" s="888"/>
      <c r="Q29" s="891"/>
      <c r="R29" s="888"/>
    </row>
    <row r="30" spans="1:18" ht="15.75" thickBot="1">
      <c r="A30" s="1516" t="s">
        <v>554</v>
      </c>
      <c r="B30" s="1517"/>
      <c r="C30" s="1518"/>
      <c r="D30" s="882"/>
      <c r="E30" s="883"/>
      <c r="F30" s="860">
        <v>0.6</v>
      </c>
      <c r="G30" s="869">
        <v>0.6</v>
      </c>
      <c r="H30" s="886"/>
      <c r="I30" s="892"/>
      <c r="J30" s="848"/>
      <c r="K30" s="893"/>
      <c r="L30" s="888"/>
      <c r="M30" s="883"/>
      <c r="N30" s="884"/>
      <c r="O30" s="885"/>
      <c r="P30" s="888"/>
      <c r="Q30" s="894"/>
      <c r="R30" s="888"/>
    </row>
    <row r="31" spans="1:18" ht="15.75" thickBot="1">
      <c r="A31" s="1516" t="s">
        <v>555</v>
      </c>
      <c r="B31" s="1517"/>
      <c r="C31" s="1518"/>
      <c r="D31" s="882"/>
      <c r="E31" s="883"/>
      <c r="F31" s="860">
        <v>0.1</v>
      </c>
      <c r="G31" s="879">
        <v>0.1</v>
      </c>
      <c r="H31" s="886"/>
      <c r="I31" s="892"/>
      <c r="J31" s="848"/>
      <c r="K31" s="893"/>
      <c r="L31" s="888"/>
      <c r="M31" s="883"/>
      <c r="N31" s="884"/>
      <c r="O31" s="885"/>
      <c r="P31" s="888"/>
      <c r="Q31" s="894"/>
      <c r="R31" s="888"/>
    </row>
    <row r="32" spans="1:18" ht="15.75" thickBot="1">
      <c r="A32" s="1516" t="s">
        <v>556</v>
      </c>
      <c r="B32" s="1517"/>
      <c r="C32" s="1518"/>
      <c r="D32" s="882"/>
      <c r="E32" s="883"/>
      <c r="F32" s="884"/>
      <c r="G32" s="885"/>
      <c r="H32" s="886"/>
      <c r="I32" s="887">
        <v>-0.6</v>
      </c>
      <c r="J32" s="848"/>
      <c r="K32" s="893"/>
      <c r="L32" s="888"/>
      <c r="M32" s="883"/>
      <c r="N32" s="884"/>
      <c r="O32" s="885"/>
      <c r="P32" s="888"/>
      <c r="Q32" s="894"/>
      <c r="R32" s="888"/>
    </row>
    <row r="33" spans="1:18" ht="15.75" thickBot="1">
      <c r="A33" s="1516" t="s">
        <v>557</v>
      </c>
      <c r="B33" s="1517"/>
      <c r="C33" s="1518"/>
      <c r="D33" s="882"/>
      <c r="E33" s="883"/>
      <c r="F33" s="860"/>
      <c r="G33" s="879">
        <v>0</v>
      </c>
      <c r="H33" s="886"/>
      <c r="I33" s="893"/>
      <c r="J33" s="848"/>
      <c r="K33" s="893"/>
      <c r="L33" s="888"/>
      <c r="M33" s="883"/>
      <c r="N33" s="884"/>
      <c r="O33" s="885"/>
      <c r="P33" s="888"/>
      <c r="Q33" s="894"/>
      <c r="R33" s="888"/>
    </row>
    <row r="34" spans="1:18" ht="15.75" thickBot="1">
      <c r="A34" s="895" t="s">
        <v>810</v>
      </c>
      <c r="B34" s="896"/>
      <c r="C34" s="897"/>
      <c r="D34" s="898"/>
      <c r="E34" s="899">
        <v>1.3</v>
      </c>
      <c r="F34" s="899">
        <v>4.6</v>
      </c>
      <c r="G34" s="899">
        <v>5.9</v>
      </c>
      <c r="H34" s="900"/>
      <c r="I34" s="899">
        <v>8.4</v>
      </c>
      <c r="J34" s="898"/>
      <c r="K34" s="899"/>
      <c r="L34" s="901"/>
      <c r="M34" s="899"/>
      <c r="N34" s="899"/>
      <c r="O34" s="899"/>
      <c r="P34" s="901"/>
      <c r="Q34" s="899"/>
      <c r="R34" s="901"/>
    </row>
    <row r="35" spans="1:18" ht="15" thickBot="1">
      <c r="A35" s="850"/>
      <c r="B35" s="850"/>
      <c r="C35" s="850"/>
      <c r="D35" s="902"/>
      <c r="E35" s="850"/>
      <c r="F35" s="850"/>
      <c r="G35" s="903"/>
      <c r="H35" s="850"/>
      <c r="I35" s="903"/>
      <c r="J35" s="834"/>
      <c r="K35" s="903"/>
      <c r="L35" s="850"/>
      <c r="M35" s="850"/>
      <c r="N35" s="850"/>
      <c r="O35" s="850"/>
      <c r="P35" s="850"/>
      <c r="Q35" s="850"/>
      <c r="R35" s="850"/>
    </row>
    <row r="36" spans="1:18" ht="30.75" thickBot="1">
      <c r="A36" s="904"/>
      <c r="B36" s="904"/>
      <c r="C36" s="905"/>
      <c r="D36" s="906"/>
      <c r="E36" s="907" t="s">
        <v>432</v>
      </c>
      <c r="F36" s="908"/>
      <c r="G36" s="908"/>
      <c r="H36" s="908"/>
      <c r="I36" s="853" t="s">
        <v>533</v>
      </c>
      <c r="J36" s="898"/>
      <c r="K36" s="849" t="s">
        <v>534</v>
      </c>
      <c r="L36" s="909"/>
      <c r="M36" s="901"/>
      <c r="N36" s="901"/>
      <c r="O36" s="901"/>
      <c r="P36" s="901"/>
      <c r="Q36" s="901"/>
      <c r="R36" s="901"/>
    </row>
    <row r="37" spans="1:18" ht="15.75" thickBot="1">
      <c r="A37" s="901"/>
      <c r="B37" s="909"/>
      <c r="C37" s="909"/>
      <c r="D37" s="909"/>
      <c r="E37" s="910"/>
      <c r="F37" s="908"/>
      <c r="G37" s="908"/>
      <c r="H37" s="911"/>
      <c r="I37" s="852" t="s">
        <v>688</v>
      </c>
      <c r="J37" s="898"/>
      <c r="K37" s="853" t="s">
        <v>688</v>
      </c>
      <c r="L37" s="901"/>
      <c r="M37" s="901"/>
      <c r="N37" s="901"/>
      <c r="O37" s="901"/>
      <c r="P37" s="901"/>
      <c r="Q37" s="901"/>
      <c r="R37" s="901"/>
    </row>
    <row r="38" spans="1:18" ht="14.25">
      <c r="A38" s="850"/>
      <c r="B38" s="902"/>
      <c r="C38" s="902"/>
      <c r="D38" s="902"/>
      <c r="E38" s="912" t="s">
        <v>433</v>
      </c>
      <c r="F38" s="913"/>
      <c r="G38" s="913"/>
      <c r="H38" s="914"/>
      <c r="I38" s="915">
        <v>2.4</v>
      </c>
      <c r="J38" s="848"/>
      <c r="K38" s="864"/>
      <c r="L38" s="850"/>
      <c r="M38" s="850"/>
      <c r="N38" s="850"/>
      <c r="O38" s="850"/>
      <c r="P38" s="850"/>
      <c r="Q38" s="850"/>
      <c r="R38" s="850"/>
    </row>
    <row r="39" spans="1:18" ht="15" thickBot="1">
      <c r="A39" s="850"/>
      <c r="B39" s="902"/>
      <c r="C39" s="902"/>
      <c r="D39" s="902"/>
      <c r="E39" s="916" t="s">
        <v>434</v>
      </c>
      <c r="F39" s="917"/>
      <c r="G39" s="917"/>
      <c r="H39" s="918"/>
      <c r="I39" s="919">
        <v>6</v>
      </c>
      <c r="J39" s="848"/>
      <c r="K39" s="864"/>
      <c r="L39" s="850"/>
      <c r="M39" s="850"/>
      <c r="N39" s="850"/>
      <c r="O39" s="850"/>
      <c r="P39" s="850"/>
      <c r="Q39" s="850"/>
      <c r="R39" s="850"/>
    </row>
    <row r="40" spans="1:18" ht="16.5" thickBot="1">
      <c r="A40" s="850"/>
      <c r="B40" s="898"/>
      <c r="C40" s="898"/>
      <c r="D40" s="898"/>
      <c r="E40" s="920" t="s">
        <v>435</v>
      </c>
      <c r="F40" s="921"/>
      <c r="G40" s="921"/>
      <c r="H40" s="922"/>
      <c r="I40" s="879">
        <v>8.4</v>
      </c>
      <c r="J40" s="848"/>
      <c r="K40" s="879"/>
      <c r="L40" s="850"/>
      <c r="M40" s="850"/>
      <c r="N40" s="850"/>
      <c r="O40" s="850"/>
      <c r="P40" s="850"/>
      <c r="Q40" s="850"/>
      <c r="R40" s="850"/>
    </row>
    <row r="41" spans="1:18" ht="15" thickBot="1">
      <c r="A41" s="850"/>
      <c r="B41" s="850"/>
      <c r="C41" s="850"/>
      <c r="D41" s="902"/>
      <c r="E41" s="850"/>
      <c r="F41" s="850"/>
      <c r="G41" s="850"/>
      <c r="H41" s="850"/>
      <c r="I41" s="903"/>
      <c r="J41" s="819"/>
      <c r="K41" s="903"/>
      <c r="L41" s="850"/>
      <c r="M41" s="850"/>
      <c r="N41" s="850"/>
      <c r="O41" s="850"/>
      <c r="P41" s="850"/>
      <c r="Q41" s="850"/>
      <c r="R41" s="850"/>
    </row>
    <row r="42" spans="1:18" ht="20.25">
      <c r="A42" s="834"/>
      <c r="B42" s="847"/>
      <c r="C42" s="1519" t="s">
        <v>763</v>
      </c>
      <c r="D42" s="923"/>
      <c r="E42" s="923"/>
      <c r="F42" s="924"/>
      <c r="G42" s="925"/>
      <c r="H42" s="848"/>
      <c r="I42" s="834"/>
      <c r="J42" s="834"/>
      <c r="K42" s="834"/>
      <c r="L42" s="834"/>
      <c r="M42" s="1521" t="s">
        <v>763</v>
      </c>
      <c r="N42" s="1522"/>
      <c r="O42" s="926"/>
      <c r="P42" s="834"/>
      <c r="Q42" s="834"/>
      <c r="R42" s="834"/>
    </row>
    <row r="43" spans="1:18" ht="21" thickBot="1">
      <c r="A43" s="834"/>
      <c r="B43" s="847"/>
      <c r="C43" s="1520"/>
      <c r="D43" s="927"/>
      <c r="E43" s="927"/>
      <c r="F43" s="928"/>
      <c r="G43" s="929" t="s">
        <v>688</v>
      </c>
      <c r="H43" s="848"/>
      <c r="I43" s="834"/>
      <c r="J43" s="834"/>
      <c r="K43" s="834"/>
      <c r="L43" s="834"/>
      <c r="M43" s="1523"/>
      <c r="N43" s="1524"/>
      <c r="O43" s="852" t="s">
        <v>688</v>
      </c>
      <c r="P43" s="834"/>
      <c r="Q43" s="834"/>
      <c r="R43" s="834"/>
    </row>
    <row r="44" spans="1:18" ht="15" thickBot="1">
      <c r="A44" s="834"/>
      <c r="B44" s="930"/>
      <c r="C44" s="931" t="s">
        <v>804</v>
      </c>
      <c r="D44" s="932"/>
      <c r="E44" s="932"/>
      <c r="F44" s="933"/>
      <c r="G44" s="915">
        <v>1.165518117056671</v>
      </c>
      <c r="H44" s="848"/>
      <c r="I44" s="834"/>
      <c r="J44" s="834"/>
      <c r="K44" s="834"/>
      <c r="L44" s="834"/>
      <c r="M44" s="934" t="s">
        <v>807</v>
      </c>
      <c r="N44" s="935"/>
      <c r="O44" s="881">
        <v>0.1</v>
      </c>
      <c r="P44" s="834"/>
      <c r="Q44" s="834"/>
      <c r="R44" s="834"/>
    </row>
    <row r="45" spans="1:18" ht="14.25">
      <c r="A45" s="834"/>
      <c r="B45" s="930"/>
      <c r="C45" s="936" t="s">
        <v>803</v>
      </c>
      <c r="D45" s="937"/>
      <c r="E45" s="937"/>
      <c r="F45" s="938"/>
      <c r="G45" s="915">
        <v>2.36306933637506</v>
      </c>
      <c r="H45" s="848"/>
      <c r="I45" s="834"/>
      <c r="J45" s="834"/>
      <c r="K45" s="834"/>
      <c r="L45" s="834"/>
      <c r="M45" s="834"/>
      <c r="N45" s="834"/>
      <c r="O45" s="834"/>
      <c r="P45" s="834"/>
      <c r="Q45" s="834"/>
      <c r="R45" s="834"/>
    </row>
    <row r="46" spans="1:18" ht="14.25">
      <c r="A46" s="834"/>
      <c r="B46" s="930"/>
      <c r="C46" s="936" t="s">
        <v>809</v>
      </c>
      <c r="D46" s="937"/>
      <c r="E46" s="937"/>
      <c r="F46" s="938"/>
      <c r="G46" s="915">
        <v>0.4813101574440447</v>
      </c>
      <c r="H46" s="848"/>
      <c r="I46" s="834"/>
      <c r="J46" s="834"/>
      <c r="K46" s="834"/>
      <c r="L46" s="834"/>
      <c r="M46" s="834"/>
      <c r="N46" s="834"/>
      <c r="O46" s="834"/>
      <c r="P46" s="834"/>
      <c r="Q46" s="834"/>
      <c r="R46" s="834"/>
    </row>
    <row r="47" spans="1:18" ht="15" thickBot="1">
      <c r="A47" s="834"/>
      <c r="B47" s="930"/>
      <c r="C47" s="939" t="s">
        <v>807</v>
      </c>
      <c r="D47" s="940"/>
      <c r="E47" s="940"/>
      <c r="F47" s="941"/>
      <c r="G47" s="915">
        <v>0.14846693171693162</v>
      </c>
      <c r="H47" s="848"/>
      <c r="I47" s="834"/>
      <c r="J47" s="834"/>
      <c r="K47" s="834"/>
      <c r="L47" s="834"/>
      <c r="M47" s="834"/>
      <c r="N47" s="834"/>
      <c r="O47" s="834"/>
      <c r="P47" s="834"/>
      <c r="Q47" s="834"/>
      <c r="R47" s="834"/>
    </row>
    <row r="48" spans="1:18" ht="15.75" thickBot="1">
      <c r="A48" s="834"/>
      <c r="B48" s="942"/>
      <c r="C48" s="943" t="s">
        <v>568</v>
      </c>
      <c r="D48" s="944"/>
      <c r="E48" s="944"/>
      <c r="F48" s="945"/>
      <c r="G48" s="946">
        <v>4.158364542592708</v>
      </c>
      <c r="H48" s="848"/>
      <c r="I48" s="834"/>
      <c r="J48" s="834"/>
      <c r="K48" s="834"/>
      <c r="L48" s="834"/>
      <c r="M48" s="834"/>
      <c r="N48" s="834"/>
      <c r="O48" s="834"/>
      <c r="P48" s="834"/>
      <c r="Q48" s="834"/>
      <c r="R48" s="834"/>
    </row>
    <row r="49" spans="1:18" ht="15">
      <c r="A49" s="947"/>
      <c r="B49" s="947"/>
      <c r="C49" s="947"/>
      <c r="D49" s="947"/>
      <c r="E49" s="947"/>
      <c r="F49" s="947"/>
      <c r="G49" s="903"/>
      <c r="H49" s="948"/>
      <c r="I49" s="949"/>
      <c r="J49" s="949"/>
      <c r="K49" s="949"/>
      <c r="L49" s="950"/>
      <c r="M49" s="850"/>
      <c r="N49" s="850"/>
      <c r="O49" s="850"/>
      <c r="P49" s="850"/>
      <c r="Q49" s="850"/>
      <c r="R49" s="850"/>
    </row>
  </sheetData>
  <sheetProtection/>
  <mergeCells count="38">
    <mergeCell ref="A9:C10"/>
    <mergeCell ref="A11:A12"/>
    <mergeCell ref="B11:C11"/>
    <mergeCell ref="E11:E12"/>
    <mergeCell ref="M6:Q6"/>
    <mergeCell ref="E7:G7"/>
    <mergeCell ref="I7:K7"/>
    <mergeCell ref="M7:O8"/>
    <mergeCell ref="Q7:Q8"/>
    <mergeCell ref="G11:G12"/>
    <mergeCell ref="B12:C12"/>
    <mergeCell ref="A13:A16"/>
    <mergeCell ref="B13:C13"/>
    <mergeCell ref="B14:C14"/>
    <mergeCell ref="E14:E16"/>
    <mergeCell ref="F14:F16"/>
    <mergeCell ref="F11:F12"/>
    <mergeCell ref="G14:G16"/>
    <mergeCell ref="B15:C15"/>
    <mergeCell ref="B16:C16"/>
    <mergeCell ref="A17:A19"/>
    <mergeCell ref="B17:C17"/>
    <mergeCell ref="B18:C18"/>
    <mergeCell ref="B19:C19"/>
    <mergeCell ref="A20:A23"/>
    <mergeCell ref="B20:C20"/>
    <mergeCell ref="B23:C23"/>
    <mergeCell ref="A24:A27"/>
    <mergeCell ref="B24:C24"/>
    <mergeCell ref="B27:C27"/>
    <mergeCell ref="A32:C32"/>
    <mergeCell ref="A33:C33"/>
    <mergeCell ref="C42:C43"/>
    <mergeCell ref="M42:N43"/>
    <mergeCell ref="A28:B28"/>
    <mergeCell ref="A29:C29"/>
    <mergeCell ref="A30:C30"/>
    <mergeCell ref="A31:C31"/>
  </mergeCells>
  <hyperlinks>
    <hyperlink ref="E1" location="Inputs!A1" display="Inde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8"/>
  <sheetViews>
    <sheetView showGridLines="0" tabSelected="1" zoomScalePageLayoutView="0" workbookViewId="0" topLeftCell="A1">
      <selection activeCell="C11" sqref="C11:F11"/>
    </sheetView>
  </sheetViews>
  <sheetFormatPr defaultColWidth="15.28125" defaultRowHeight="12.75"/>
  <cols>
    <col min="1" max="1" width="15.28125" style="0" customWidth="1"/>
    <col min="2" max="2" width="17.00390625" style="0" customWidth="1"/>
  </cols>
  <sheetData>
    <row r="3" spans="3:4" ht="25.5">
      <c r="C3" s="304" t="s">
        <v>692</v>
      </c>
      <c r="D3" s="1284">
        <v>0.1844</v>
      </c>
    </row>
    <row r="4" spans="3:4" ht="25.5">
      <c r="C4" s="304" t="s">
        <v>5</v>
      </c>
      <c r="D4" s="1285">
        <v>0.46</v>
      </c>
    </row>
    <row r="7" ht="15.75">
      <c r="A7" s="1283" t="s">
        <v>6</v>
      </c>
    </row>
    <row r="8" ht="14.25">
      <c r="A8" s="1278"/>
    </row>
    <row r="9" ht="14.25">
      <c r="A9" s="587" t="s">
        <v>27</v>
      </c>
    </row>
    <row r="10" spans="2:6" ht="25.5">
      <c r="B10" s="1279" t="s">
        <v>28</v>
      </c>
      <c r="C10" s="1279" t="s">
        <v>29</v>
      </c>
      <c r="D10" s="1279" t="s">
        <v>30</v>
      </c>
      <c r="E10" s="1279" t="s">
        <v>31</v>
      </c>
      <c r="F10" s="1279" t="s">
        <v>32</v>
      </c>
    </row>
    <row r="11" spans="1:7" ht="14.25">
      <c r="A11" s="1280" t="s">
        <v>33</v>
      </c>
      <c r="B11" s="1281"/>
      <c r="C11" s="1282">
        <f>'Allocation Summary'!C9*(1-'Allocation Summary'!C10*'Splits and results'!D3)+'Allocation Summary'!B9</f>
        <v>0.31011941936968845</v>
      </c>
      <c r="D11" s="1419">
        <f>'Allocation Summary'!C9+'Allocation Summary'!D9+('Allocation Summary'!E9*(1-D4*'Allocation Summary'!E10))+'Allocation Summary'!B9</f>
        <v>0.6368444505396268</v>
      </c>
      <c r="E11" s="1282">
        <f>('Allocation Summary'!D9+'Allocation Summary'!E9*(1-D4*'Allocation Summary'!E10))/(1-'Allocation Summary'!C9-'Allocation Summary'!B9)</f>
        <v>0.4590146796270708</v>
      </c>
      <c r="F11" s="1282">
        <f>'Allocation Summary'!E9*(1-D4*'Allocation Summary'!E10)/(1-'Allocation Summary'!B9-'Allocation Summary'!C9-'Allocation Summary'!D9)</f>
        <v>0.3574087392297694</v>
      </c>
      <c r="G11" s="1278" t="s">
        <v>42</v>
      </c>
    </row>
    <row r="14" spans="3:6" ht="12.75">
      <c r="C14" s="1282">
        <v>0.2882816591375808</v>
      </c>
      <c r="D14" s="1282">
        <v>0.4204186217347905</v>
      </c>
      <c r="E14" s="1282">
        <v>0.15054321754429265</v>
      </c>
      <c r="F14" s="1282">
        <v>0.33958532876687314</v>
      </c>
    </row>
    <row r="15" spans="3:6" ht="12.75">
      <c r="C15" s="385"/>
      <c r="D15" s="385"/>
      <c r="E15" s="385"/>
      <c r="F15" s="385"/>
    </row>
    <row r="18" spans="3:6" ht="12.75">
      <c r="C18">
        <v>0.28784869292874654</v>
      </c>
      <c r="D18">
        <v>0.42235932756227046</v>
      </c>
      <c r="E18">
        <v>0.1539792434786445</v>
      </c>
      <c r="F18">
        <v>0.3499428333691541</v>
      </c>
    </row>
  </sheetData>
  <sheetProtection/>
  <printOptions/>
  <pageMargins left="0.75" right="0.75" top="1" bottom="1" header="0.5" footer="0.5"/>
  <pageSetup fitToHeight="1" fitToWidth="1" orientation="landscape" paperSize="9" scale="94" r:id="rId1"/>
  <headerFooter alignWithMargins="0">
    <oddFooter>&amp;L&amp;Z&amp;F&amp;R&amp;D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89"/>
  <sheetViews>
    <sheetView zoomScale="80" zoomScaleNormal="80" zoomScalePageLayoutView="0" workbookViewId="0" topLeftCell="A1">
      <selection activeCell="E11" sqref="E11:L89"/>
    </sheetView>
  </sheetViews>
  <sheetFormatPr defaultColWidth="8.8515625" defaultRowHeight="12.75"/>
  <cols>
    <col min="1" max="2" width="8.8515625" style="0" customWidth="1"/>
    <col min="3" max="3" width="74.8515625" style="0" bestFit="1" customWidth="1"/>
    <col min="4" max="4" width="35.140625" style="0" customWidth="1"/>
  </cols>
  <sheetData>
    <row r="1" spans="1:5" ht="12.75">
      <c r="A1" s="388" t="s">
        <v>545</v>
      </c>
      <c r="E1" s="390" t="s">
        <v>775</v>
      </c>
    </row>
    <row r="2" ht="12.75">
      <c r="A2" s="388"/>
    </row>
    <row r="3" ht="12.75">
      <c r="A3" s="388" t="s">
        <v>558</v>
      </c>
    </row>
    <row r="5" spans="1:14" ht="20.25">
      <c r="A5" s="843" t="s">
        <v>735</v>
      </c>
      <c r="B5" s="844"/>
      <c r="C5" s="844"/>
      <c r="D5" s="845"/>
      <c r="E5" s="844"/>
      <c r="F5" s="844"/>
      <c r="G5" s="844"/>
      <c r="H5" s="844"/>
      <c r="I5" s="844"/>
      <c r="J5" s="844"/>
      <c r="K5" s="844"/>
      <c r="L5" s="844"/>
      <c r="M5" s="982"/>
      <c r="N5" s="982"/>
    </row>
    <row r="6" spans="1:14" ht="21" thickBot="1">
      <c r="A6" s="843"/>
      <c r="B6" s="844"/>
      <c r="C6" s="844"/>
      <c r="D6" s="845"/>
      <c r="E6" s="844"/>
      <c r="F6" s="844"/>
      <c r="G6" s="844"/>
      <c r="H6" s="844"/>
      <c r="I6" s="844"/>
      <c r="J6" s="844"/>
      <c r="K6" s="844"/>
      <c r="L6" s="844"/>
      <c r="M6" s="982"/>
      <c r="N6" s="982"/>
    </row>
    <row r="7" spans="1:14" ht="18.75" thickBot="1">
      <c r="A7" s="850"/>
      <c r="B7" s="850"/>
      <c r="C7" s="983" t="s">
        <v>612</v>
      </c>
      <c r="D7" s="984"/>
      <c r="E7" s="984"/>
      <c r="F7" s="984"/>
      <c r="G7" s="984"/>
      <c r="H7" s="984"/>
      <c r="I7" s="984"/>
      <c r="J7" s="984"/>
      <c r="K7" s="984"/>
      <c r="L7" s="985"/>
      <c r="M7" s="850"/>
      <c r="N7" s="850"/>
    </row>
    <row r="8" spans="1:14" ht="98.25" thickBot="1">
      <c r="A8" s="850"/>
      <c r="B8" s="850"/>
      <c r="C8" s="986" t="s">
        <v>613</v>
      </c>
      <c r="D8" s="987"/>
      <c r="E8" s="988" t="s">
        <v>614</v>
      </c>
      <c r="F8" s="989" t="s">
        <v>615</v>
      </c>
      <c r="G8" s="989" t="s">
        <v>616</v>
      </c>
      <c r="H8" s="990" t="s">
        <v>690</v>
      </c>
      <c r="I8" s="989" t="s">
        <v>691</v>
      </c>
      <c r="J8" s="991" t="s">
        <v>544</v>
      </c>
      <c r="K8" s="992" t="s">
        <v>472</v>
      </c>
      <c r="L8" s="993" t="s">
        <v>810</v>
      </c>
      <c r="M8" s="850"/>
      <c r="N8" s="850"/>
    </row>
    <row r="9" spans="1:14" ht="15.75" thickBot="1">
      <c r="A9" s="850"/>
      <c r="B9" s="850"/>
      <c r="C9" s="994"/>
      <c r="D9" s="995"/>
      <c r="E9" s="996" t="s">
        <v>688</v>
      </c>
      <c r="F9" s="997" t="s">
        <v>688</v>
      </c>
      <c r="G9" s="997" t="s">
        <v>688</v>
      </c>
      <c r="H9" s="996" t="s">
        <v>688</v>
      </c>
      <c r="I9" s="997" t="s">
        <v>688</v>
      </c>
      <c r="J9" s="997" t="s">
        <v>688</v>
      </c>
      <c r="K9" s="998" t="s">
        <v>688</v>
      </c>
      <c r="L9" s="999" t="s">
        <v>688</v>
      </c>
      <c r="M9" s="850"/>
      <c r="N9" s="850"/>
    </row>
    <row r="10" spans="1:14" ht="15">
      <c r="A10" s="850"/>
      <c r="B10" s="850"/>
      <c r="C10" s="1000" t="s">
        <v>354</v>
      </c>
      <c r="D10" s="987"/>
      <c r="E10" s="1001"/>
      <c r="F10" s="1002"/>
      <c r="G10" s="1002"/>
      <c r="H10" s="1001"/>
      <c r="I10" s="1002"/>
      <c r="J10" s="1003"/>
      <c r="K10" s="1003"/>
      <c r="L10" s="1004"/>
      <c r="M10" s="850"/>
      <c r="N10" s="850"/>
    </row>
    <row r="11" spans="1:14" ht="14.25">
      <c r="A11" s="850"/>
      <c r="B11" s="850"/>
      <c r="C11" s="1596" t="s">
        <v>355</v>
      </c>
      <c r="D11" s="1597"/>
      <c r="E11" s="1005">
        <v>13.8</v>
      </c>
      <c r="F11" s="1005"/>
      <c r="G11" s="1005">
        <v>0.9</v>
      </c>
      <c r="H11" s="1005">
        <v>0.8</v>
      </c>
      <c r="I11" s="1006"/>
      <c r="J11" s="1007"/>
      <c r="K11" s="1008"/>
      <c r="L11" s="1009">
        <v>15.5</v>
      </c>
      <c r="M11" s="850"/>
      <c r="N11" s="850"/>
    </row>
    <row r="12" spans="1:14" ht="14.25">
      <c r="A12" s="850"/>
      <c r="B12" s="850"/>
      <c r="C12" s="1596" t="s">
        <v>356</v>
      </c>
      <c r="D12" s="1597"/>
      <c r="E12" s="1005">
        <v>2.4</v>
      </c>
      <c r="F12" s="1005"/>
      <c r="G12" s="1005">
        <v>0.2</v>
      </c>
      <c r="H12" s="1005">
        <v>0.3</v>
      </c>
      <c r="I12" s="1006"/>
      <c r="J12" s="1007"/>
      <c r="K12" s="1008"/>
      <c r="L12" s="1009">
        <v>2.9</v>
      </c>
      <c r="M12" s="850"/>
      <c r="N12" s="850"/>
    </row>
    <row r="13" spans="1:14" ht="14.25">
      <c r="A13" s="850"/>
      <c r="B13" s="850"/>
      <c r="C13" s="1596" t="s">
        <v>485</v>
      </c>
      <c r="D13" s="1597"/>
      <c r="E13" s="1005">
        <v>0.5</v>
      </c>
      <c r="F13" s="1005"/>
      <c r="G13" s="1005">
        <v>1.1</v>
      </c>
      <c r="H13" s="1005">
        <v>0.6</v>
      </c>
      <c r="I13" s="1006"/>
      <c r="J13" s="1007"/>
      <c r="K13" s="1008"/>
      <c r="L13" s="1009">
        <v>2.2</v>
      </c>
      <c r="M13" s="850"/>
      <c r="N13" s="850"/>
    </row>
    <row r="14" spans="1:14" ht="14.25">
      <c r="A14" s="850"/>
      <c r="B14" s="850"/>
      <c r="C14" s="1596" t="s">
        <v>486</v>
      </c>
      <c r="D14" s="1597"/>
      <c r="E14" s="1005">
        <v>0</v>
      </c>
      <c r="F14" s="1005"/>
      <c r="G14" s="1005">
        <v>0</v>
      </c>
      <c r="H14" s="1005">
        <v>0</v>
      </c>
      <c r="I14" s="1006"/>
      <c r="J14" s="1007"/>
      <c r="K14" s="1008"/>
      <c r="L14" s="1009">
        <v>0</v>
      </c>
      <c r="M14" s="850"/>
      <c r="N14" s="850"/>
    </row>
    <row r="15" spans="1:14" ht="15">
      <c r="A15" s="850"/>
      <c r="B15" s="850"/>
      <c r="C15" s="1010" t="s">
        <v>487</v>
      </c>
      <c r="D15" s="1011"/>
      <c r="E15" s="1012"/>
      <c r="F15" s="1013"/>
      <c r="G15" s="1013"/>
      <c r="H15" s="1012"/>
      <c r="I15" s="1006"/>
      <c r="J15" s="1007"/>
      <c r="K15" s="1008"/>
      <c r="L15" s="1014">
        <v>0</v>
      </c>
      <c r="M15" s="850"/>
      <c r="N15" s="850"/>
    </row>
    <row r="16" spans="1:14" ht="14.25">
      <c r="A16" s="850"/>
      <c r="B16" s="850"/>
      <c r="C16" s="1015" t="s">
        <v>488</v>
      </c>
      <c r="D16" s="1016"/>
      <c r="E16" s="1017"/>
      <c r="F16" s="1006"/>
      <c r="G16" s="1006"/>
      <c r="H16" s="1006"/>
      <c r="I16" s="1005">
        <v>0.3</v>
      </c>
      <c r="J16" s="1005"/>
      <c r="K16" s="1008"/>
      <c r="L16" s="1009">
        <v>0.3</v>
      </c>
      <c r="M16" s="850"/>
      <c r="N16" s="850"/>
    </row>
    <row r="17" spans="1:14" ht="14.25">
      <c r="A17" s="850"/>
      <c r="B17" s="850"/>
      <c r="C17" s="1015" t="s">
        <v>483</v>
      </c>
      <c r="D17" s="1016"/>
      <c r="E17" s="1017"/>
      <c r="F17" s="1006"/>
      <c r="G17" s="1006"/>
      <c r="H17" s="1006"/>
      <c r="I17" s="1005">
        <v>0.9</v>
      </c>
      <c r="J17" s="1005"/>
      <c r="K17" s="1008"/>
      <c r="L17" s="1009">
        <v>0.9</v>
      </c>
      <c r="M17" s="850"/>
      <c r="N17" s="850"/>
    </row>
    <row r="18" spans="1:14" ht="14.25">
      <c r="A18" s="850"/>
      <c r="B18" s="850"/>
      <c r="C18" s="1015" t="s">
        <v>484</v>
      </c>
      <c r="D18" s="1016"/>
      <c r="E18" s="1017"/>
      <c r="F18" s="1006"/>
      <c r="G18" s="1006"/>
      <c r="H18" s="1006"/>
      <c r="I18" s="1005">
        <v>1.4</v>
      </c>
      <c r="J18" s="1005"/>
      <c r="K18" s="1008"/>
      <c r="L18" s="1009">
        <v>1.4</v>
      </c>
      <c r="M18" s="850"/>
      <c r="N18" s="850"/>
    </row>
    <row r="19" spans="1:14" ht="14.25">
      <c r="A19" s="850"/>
      <c r="B19" s="850"/>
      <c r="C19" s="1015" t="s">
        <v>473</v>
      </c>
      <c r="D19" s="1016"/>
      <c r="E19" s="1017"/>
      <c r="F19" s="1006"/>
      <c r="G19" s="1006"/>
      <c r="H19" s="1006"/>
      <c r="I19" s="1005">
        <v>1.1</v>
      </c>
      <c r="J19" s="1005"/>
      <c r="K19" s="1008"/>
      <c r="L19" s="1009">
        <v>1.1</v>
      </c>
      <c r="M19" s="850"/>
      <c r="N19" s="850"/>
    </row>
    <row r="20" spans="1:14" ht="15">
      <c r="A20" s="850"/>
      <c r="B20" s="850"/>
      <c r="C20" s="1010" t="s">
        <v>472</v>
      </c>
      <c r="D20" s="1018"/>
      <c r="E20" s="1019"/>
      <c r="F20" s="1020"/>
      <c r="G20" s="1020"/>
      <c r="H20" s="1020"/>
      <c r="I20" s="1020"/>
      <c r="J20" s="1008"/>
      <c r="K20" s="1005"/>
      <c r="L20" s="1009">
        <v>0</v>
      </c>
      <c r="M20" s="850"/>
      <c r="N20" s="850"/>
    </row>
    <row r="21" spans="1:14" ht="15">
      <c r="A21" s="850"/>
      <c r="B21" s="850"/>
      <c r="C21" s="1021" t="s">
        <v>474</v>
      </c>
      <c r="D21" s="1022"/>
      <c r="E21" s="1023">
        <v>16.7</v>
      </c>
      <c r="F21" s="1023">
        <v>0</v>
      </c>
      <c r="G21" s="1023">
        <v>2.2</v>
      </c>
      <c r="H21" s="1023">
        <v>1.7</v>
      </c>
      <c r="I21" s="1023">
        <v>3.7</v>
      </c>
      <c r="J21" s="1023">
        <v>0</v>
      </c>
      <c r="K21" s="1024">
        <v>0</v>
      </c>
      <c r="L21" s="1025">
        <v>24.3</v>
      </c>
      <c r="M21" s="1026"/>
      <c r="N21" s="850"/>
    </row>
    <row r="22" spans="1:14" ht="15">
      <c r="A22" s="850"/>
      <c r="B22" s="850"/>
      <c r="C22" s="1027" t="s">
        <v>475</v>
      </c>
      <c r="D22" s="1028"/>
      <c r="E22" s="1005"/>
      <c r="F22" s="1006"/>
      <c r="G22" s="1005"/>
      <c r="H22" s="1005"/>
      <c r="I22" s="1005"/>
      <c r="J22" s="1005"/>
      <c r="K22" s="1005"/>
      <c r="L22" s="1009">
        <v>0</v>
      </c>
      <c r="M22" s="1026"/>
      <c r="N22" s="850"/>
    </row>
    <row r="23" spans="1:14" ht="15">
      <c r="A23" s="850"/>
      <c r="B23" s="850"/>
      <c r="C23" s="1021" t="s">
        <v>476</v>
      </c>
      <c r="D23" s="1022"/>
      <c r="E23" s="1023">
        <v>16.7</v>
      </c>
      <c r="F23" s="1029">
        <v>0</v>
      </c>
      <c r="G23" s="1029">
        <v>2.2</v>
      </c>
      <c r="H23" s="1029">
        <v>1.7</v>
      </c>
      <c r="I23" s="1029">
        <v>3.7</v>
      </c>
      <c r="J23" s="1029">
        <v>0</v>
      </c>
      <c r="K23" s="1030">
        <v>0</v>
      </c>
      <c r="L23" s="1025">
        <v>24.3</v>
      </c>
      <c r="M23" s="1031"/>
      <c r="N23" s="850"/>
    </row>
    <row r="24" spans="1:14" ht="15.75" thickBot="1">
      <c r="A24" s="850"/>
      <c r="B24" s="850"/>
      <c r="C24" s="1032" t="s">
        <v>477</v>
      </c>
      <c r="D24" s="1033"/>
      <c r="E24" s="1005">
        <v>-22</v>
      </c>
      <c r="F24" s="1005"/>
      <c r="G24" s="1005">
        <v>-2.8</v>
      </c>
      <c r="H24" s="1034"/>
      <c r="I24" s="1035"/>
      <c r="J24" s="1035"/>
      <c r="K24" s="1005"/>
      <c r="L24" s="1036">
        <v>-24.8</v>
      </c>
      <c r="M24" s="1037"/>
      <c r="N24" s="850"/>
    </row>
    <row r="25" spans="1:14" ht="15.75" thickBot="1">
      <c r="A25" s="850"/>
      <c r="B25" s="850"/>
      <c r="C25" s="1038" t="s">
        <v>478</v>
      </c>
      <c r="D25" s="1039"/>
      <c r="E25" s="1040">
        <v>-5.3</v>
      </c>
      <c r="F25" s="1041">
        <v>0</v>
      </c>
      <c r="G25" s="1041">
        <v>-0.6</v>
      </c>
      <c r="H25" s="1041">
        <v>1.7</v>
      </c>
      <c r="I25" s="1041">
        <v>3.7</v>
      </c>
      <c r="J25" s="1041">
        <v>0</v>
      </c>
      <c r="K25" s="1042">
        <v>0</v>
      </c>
      <c r="L25" s="1043">
        <v>-0.5</v>
      </c>
      <c r="M25" s="1031"/>
      <c r="N25" s="850"/>
    </row>
    <row r="26" spans="1:14" ht="15.75" thickBot="1">
      <c r="A26" s="850"/>
      <c r="B26" s="850"/>
      <c r="C26" s="1044"/>
      <c r="D26" s="1044"/>
      <c r="E26" s="1045"/>
      <c r="F26" s="1045"/>
      <c r="G26" s="949"/>
      <c r="H26" s="1046"/>
      <c r="I26" s="850"/>
      <c r="J26" s="850"/>
      <c r="K26" s="850"/>
      <c r="L26" s="850"/>
      <c r="M26" s="850"/>
      <c r="N26" s="850"/>
    </row>
    <row r="27" spans="1:14" ht="18.75" thickBot="1">
      <c r="A27" s="850"/>
      <c r="B27" s="850"/>
      <c r="C27" s="1047" t="s">
        <v>491</v>
      </c>
      <c r="D27" s="1048"/>
      <c r="E27" s="1049"/>
      <c r="F27" s="1049"/>
      <c r="G27" s="1050"/>
      <c r="H27" s="850"/>
      <c r="I27" s="850"/>
      <c r="J27" s="850"/>
      <c r="K27" s="850"/>
      <c r="L27" s="901"/>
      <c r="M27" s="850"/>
      <c r="N27" s="850"/>
    </row>
    <row r="28" spans="1:14" ht="15.75" customHeight="1" thickBot="1">
      <c r="A28" s="850"/>
      <c r="B28" s="850"/>
      <c r="C28" s="1000"/>
      <c r="D28" s="1051"/>
      <c r="E28" s="1592" t="s">
        <v>578</v>
      </c>
      <c r="F28" s="1593"/>
      <c r="G28" s="1052"/>
      <c r="H28" s="850"/>
      <c r="I28" s="850"/>
      <c r="J28" s="850"/>
      <c r="K28" s="850"/>
      <c r="L28" s="901"/>
      <c r="M28" s="850"/>
      <c r="N28" s="850"/>
    </row>
    <row r="29" spans="1:14" ht="45.75" thickBot="1">
      <c r="A29" s="850"/>
      <c r="B29" s="850"/>
      <c r="C29" s="1053" t="s">
        <v>613</v>
      </c>
      <c r="D29" s="1054"/>
      <c r="E29" s="1055" t="s">
        <v>492</v>
      </c>
      <c r="F29" s="1055" t="s">
        <v>631</v>
      </c>
      <c r="G29" s="1056" t="s">
        <v>632</v>
      </c>
      <c r="H29" s="850"/>
      <c r="I29" s="850"/>
      <c r="J29" s="850"/>
      <c r="K29" s="850"/>
      <c r="L29" s="901"/>
      <c r="M29" s="850"/>
      <c r="N29" s="850"/>
    </row>
    <row r="30" spans="1:14" ht="15.75" thickBot="1">
      <c r="A30" s="850"/>
      <c r="B30" s="850"/>
      <c r="C30" s="1057"/>
      <c r="D30" s="1054"/>
      <c r="E30" s="853" t="s">
        <v>688</v>
      </c>
      <c r="F30" s="853" t="s">
        <v>688</v>
      </c>
      <c r="G30" s="853" t="s">
        <v>688</v>
      </c>
      <c r="H30" s="850"/>
      <c r="I30" s="850"/>
      <c r="J30" s="850"/>
      <c r="K30" s="850"/>
      <c r="L30" s="901"/>
      <c r="M30" s="850"/>
      <c r="N30" s="850"/>
    </row>
    <row r="31" spans="1:14" ht="15">
      <c r="A31" s="850"/>
      <c r="B31" s="850"/>
      <c r="C31" s="1594" t="s">
        <v>633</v>
      </c>
      <c r="D31" s="1058" t="s">
        <v>634</v>
      </c>
      <c r="E31" s="1059">
        <v>1.5</v>
      </c>
      <c r="F31" s="1005">
        <v>0</v>
      </c>
      <c r="G31" s="1060">
        <v>1.5</v>
      </c>
      <c r="H31" s="850"/>
      <c r="I31" s="850"/>
      <c r="J31" s="850"/>
      <c r="K31" s="850"/>
      <c r="L31" s="901"/>
      <c r="M31" s="850"/>
      <c r="N31" s="850"/>
    </row>
    <row r="32" spans="1:14" ht="15.75" thickBot="1">
      <c r="A32" s="850"/>
      <c r="B32" s="850"/>
      <c r="C32" s="1595"/>
      <c r="D32" s="1061" t="s">
        <v>635</v>
      </c>
      <c r="E32" s="1062">
        <v>0.6</v>
      </c>
      <c r="F32" s="1062">
        <v>0</v>
      </c>
      <c r="G32" s="1063">
        <v>0.6</v>
      </c>
      <c r="H32" s="850"/>
      <c r="I32" s="850"/>
      <c r="J32" s="850"/>
      <c r="K32" s="850"/>
      <c r="L32" s="901"/>
      <c r="M32" s="850"/>
      <c r="N32" s="850"/>
    </row>
    <row r="33" spans="1:14" ht="15">
      <c r="A33" s="850"/>
      <c r="B33" s="850"/>
      <c r="C33" s="1594" t="s">
        <v>636</v>
      </c>
      <c r="D33" s="1058" t="s">
        <v>634</v>
      </c>
      <c r="E33" s="1059">
        <v>0</v>
      </c>
      <c r="F33" s="1005">
        <v>0</v>
      </c>
      <c r="G33" s="1060">
        <v>0</v>
      </c>
      <c r="H33" s="850"/>
      <c r="I33" s="850"/>
      <c r="J33" s="850"/>
      <c r="K33" s="850"/>
      <c r="L33" s="901"/>
      <c r="M33" s="850"/>
      <c r="N33" s="850"/>
    </row>
    <row r="34" spans="1:14" ht="15.75" thickBot="1">
      <c r="A34" s="850"/>
      <c r="B34" s="850"/>
      <c r="C34" s="1595"/>
      <c r="D34" s="1061" t="s">
        <v>635</v>
      </c>
      <c r="E34" s="1062">
        <v>0.1</v>
      </c>
      <c r="F34" s="1062">
        <v>0</v>
      </c>
      <c r="G34" s="1063">
        <v>0.1</v>
      </c>
      <c r="H34" s="850"/>
      <c r="I34" s="850"/>
      <c r="J34" s="850"/>
      <c r="K34" s="850"/>
      <c r="L34" s="901"/>
      <c r="M34" s="850"/>
      <c r="N34" s="850"/>
    </row>
    <row r="35" spans="1:14" ht="15">
      <c r="A35" s="850"/>
      <c r="B35" s="850"/>
      <c r="C35" s="1589" t="s">
        <v>488</v>
      </c>
      <c r="D35" s="1058" t="s">
        <v>786</v>
      </c>
      <c r="E35" s="1059">
        <v>2</v>
      </c>
      <c r="F35" s="1005">
        <v>0</v>
      </c>
      <c r="G35" s="1060">
        <v>2</v>
      </c>
      <c r="H35" s="850"/>
      <c r="I35" s="850"/>
      <c r="J35" s="850"/>
      <c r="K35" s="850"/>
      <c r="L35" s="901"/>
      <c r="M35" s="850"/>
      <c r="N35" s="850"/>
    </row>
    <row r="36" spans="1:14" ht="15">
      <c r="A36" s="850"/>
      <c r="B36" s="850"/>
      <c r="C36" s="1590"/>
      <c r="D36" s="1064" t="s">
        <v>787</v>
      </c>
      <c r="E36" s="1059">
        <v>0.2</v>
      </c>
      <c r="F36" s="1005">
        <v>0.1</v>
      </c>
      <c r="G36" s="1009">
        <v>0.3</v>
      </c>
      <c r="H36" s="850"/>
      <c r="I36" s="850"/>
      <c r="J36" s="850"/>
      <c r="K36" s="850"/>
      <c r="L36" s="901"/>
      <c r="M36" s="850"/>
      <c r="N36" s="850"/>
    </row>
    <row r="37" spans="1:14" ht="15.75" thickBot="1">
      <c r="A37" s="850"/>
      <c r="B37" s="850"/>
      <c r="C37" s="1591"/>
      <c r="D37" s="1065" t="s">
        <v>788</v>
      </c>
      <c r="E37" s="1062">
        <v>0.1</v>
      </c>
      <c r="F37" s="1062">
        <v>0</v>
      </c>
      <c r="G37" s="1063">
        <v>0.1</v>
      </c>
      <c r="H37" s="850"/>
      <c r="I37" s="850"/>
      <c r="J37" s="850"/>
      <c r="K37" s="850"/>
      <c r="L37" s="901"/>
      <c r="M37" s="850"/>
      <c r="N37" s="850"/>
    </row>
    <row r="38" spans="1:14" ht="15">
      <c r="A38" s="850"/>
      <c r="B38" s="850"/>
      <c r="C38" s="1589" t="s">
        <v>803</v>
      </c>
      <c r="D38" s="1058" t="s">
        <v>789</v>
      </c>
      <c r="E38" s="1059">
        <v>5.6</v>
      </c>
      <c r="F38" s="1005">
        <v>0</v>
      </c>
      <c r="G38" s="1060">
        <v>5.6</v>
      </c>
      <c r="H38" s="850"/>
      <c r="I38" s="850"/>
      <c r="J38" s="850"/>
      <c r="K38" s="850"/>
      <c r="L38" s="901"/>
      <c r="M38" s="850"/>
      <c r="N38" s="850"/>
    </row>
    <row r="39" spans="1:14" ht="15">
      <c r="A39" s="850"/>
      <c r="B39" s="850"/>
      <c r="C39" s="1590"/>
      <c r="D39" s="1064" t="s">
        <v>649</v>
      </c>
      <c r="E39" s="1059">
        <v>1.1</v>
      </c>
      <c r="F39" s="1005">
        <v>0</v>
      </c>
      <c r="G39" s="1009">
        <v>1.1</v>
      </c>
      <c r="H39" s="850"/>
      <c r="I39" s="850"/>
      <c r="J39" s="850"/>
      <c r="K39" s="850"/>
      <c r="L39" s="901"/>
      <c r="M39" s="850"/>
      <c r="N39" s="850"/>
    </row>
    <row r="40" spans="1:14" ht="15">
      <c r="A40" s="850"/>
      <c r="B40" s="850"/>
      <c r="C40" s="1590"/>
      <c r="D40" s="1066" t="s">
        <v>650</v>
      </c>
      <c r="E40" s="1059">
        <v>0</v>
      </c>
      <c r="F40" s="1005">
        <v>0</v>
      </c>
      <c r="G40" s="1009">
        <v>0</v>
      </c>
      <c r="H40" s="850"/>
      <c r="I40" s="850"/>
      <c r="J40" s="850"/>
      <c r="K40" s="850"/>
      <c r="L40" s="901"/>
      <c r="M40" s="850"/>
      <c r="N40" s="850"/>
    </row>
    <row r="41" spans="1:14" ht="15">
      <c r="A41" s="850"/>
      <c r="B41" s="850"/>
      <c r="C41" s="1590"/>
      <c r="D41" s="1066" t="s">
        <v>788</v>
      </c>
      <c r="E41" s="1059">
        <v>2.5</v>
      </c>
      <c r="F41" s="1005">
        <v>0.1</v>
      </c>
      <c r="G41" s="1009">
        <v>2.6</v>
      </c>
      <c r="H41" s="850"/>
      <c r="I41" s="850"/>
      <c r="J41" s="850"/>
      <c r="K41" s="850"/>
      <c r="L41" s="901"/>
      <c r="M41" s="850"/>
      <c r="N41" s="850"/>
    </row>
    <row r="42" spans="1:14" ht="15">
      <c r="A42" s="850"/>
      <c r="B42" s="850"/>
      <c r="C42" s="1590"/>
      <c r="D42" s="1064" t="s">
        <v>509</v>
      </c>
      <c r="E42" s="1059">
        <v>0.7</v>
      </c>
      <c r="F42" s="1005">
        <v>0.1</v>
      </c>
      <c r="G42" s="1009">
        <v>0.8</v>
      </c>
      <c r="H42" s="850"/>
      <c r="I42" s="850"/>
      <c r="J42" s="850"/>
      <c r="K42" s="850"/>
      <c r="L42" s="901"/>
      <c r="M42" s="850"/>
      <c r="N42" s="850"/>
    </row>
    <row r="43" spans="1:14" ht="15.75" thickBot="1">
      <c r="A43" s="850"/>
      <c r="B43" s="850"/>
      <c r="C43" s="1591"/>
      <c r="D43" s="1061" t="s">
        <v>510</v>
      </c>
      <c r="E43" s="1062">
        <v>0.8</v>
      </c>
      <c r="F43" s="1062">
        <v>0</v>
      </c>
      <c r="G43" s="1063">
        <v>0.8</v>
      </c>
      <c r="H43" s="850"/>
      <c r="I43" s="850"/>
      <c r="J43" s="850"/>
      <c r="K43" s="850"/>
      <c r="L43" s="901"/>
      <c r="M43" s="850"/>
      <c r="N43" s="850"/>
    </row>
    <row r="44" spans="1:14" ht="15">
      <c r="A44" s="850"/>
      <c r="B44" s="850"/>
      <c r="C44" s="1589" t="s">
        <v>809</v>
      </c>
      <c r="D44" s="1058" t="s">
        <v>789</v>
      </c>
      <c r="E44" s="1059">
        <v>1</v>
      </c>
      <c r="F44" s="1005">
        <v>0</v>
      </c>
      <c r="G44" s="1060">
        <v>1</v>
      </c>
      <c r="H44" s="850"/>
      <c r="I44" s="850"/>
      <c r="J44" s="850"/>
      <c r="K44" s="850"/>
      <c r="L44" s="901"/>
      <c r="M44" s="850"/>
      <c r="N44" s="850"/>
    </row>
    <row r="45" spans="1:14" ht="15">
      <c r="A45" s="850"/>
      <c r="B45" s="850"/>
      <c r="C45" s="1590"/>
      <c r="D45" s="1064" t="s">
        <v>649</v>
      </c>
      <c r="E45" s="1059">
        <v>0</v>
      </c>
      <c r="F45" s="1005">
        <v>0</v>
      </c>
      <c r="G45" s="1009">
        <v>0</v>
      </c>
      <c r="H45" s="850"/>
      <c r="I45" s="850"/>
      <c r="J45" s="850"/>
      <c r="K45" s="850"/>
      <c r="L45" s="901"/>
      <c r="M45" s="850"/>
      <c r="N45" s="850"/>
    </row>
    <row r="46" spans="1:14" ht="15">
      <c r="A46" s="850"/>
      <c r="B46" s="850"/>
      <c r="C46" s="1590"/>
      <c r="D46" s="1064" t="s">
        <v>650</v>
      </c>
      <c r="E46" s="1059">
        <v>0</v>
      </c>
      <c r="F46" s="1005">
        <v>0</v>
      </c>
      <c r="G46" s="1009">
        <v>0</v>
      </c>
      <c r="H46" s="850"/>
      <c r="I46" s="850"/>
      <c r="J46" s="850"/>
      <c r="K46" s="850"/>
      <c r="L46" s="901"/>
      <c r="M46" s="850"/>
      <c r="N46" s="850"/>
    </row>
    <row r="47" spans="1:14" ht="15">
      <c r="A47" s="850"/>
      <c r="B47" s="850"/>
      <c r="C47" s="1590"/>
      <c r="D47" s="1064" t="s">
        <v>788</v>
      </c>
      <c r="E47" s="1059">
        <v>1.9</v>
      </c>
      <c r="F47" s="1005">
        <v>0</v>
      </c>
      <c r="G47" s="1009">
        <v>1.9</v>
      </c>
      <c r="H47" s="850"/>
      <c r="I47" s="850"/>
      <c r="J47" s="850"/>
      <c r="K47" s="850"/>
      <c r="L47" s="901"/>
      <c r="M47" s="850"/>
      <c r="N47" s="850"/>
    </row>
    <row r="48" spans="1:14" ht="15">
      <c r="A48" s="850"/>
      <c r="B48" s="850"/>
      <c r="C48" s="1590"/>
      <c r="D48" s="1064" t="s">
        <v>509</v>
      </c>
      <c r="E48" s="1059">
        <v>0.8</v>
      </c>
      <c r="F48" s="1005">
        <v>0.2</v>
      </c>
      <c r="G48" s="1009">
        <v>1</v>
      </c>
      <c r="H48" s="850"/>
      <c r="I48" s="850"/>
      <c r="J48" s="850"/>
      <c r="K48" s="850"/>
      <c r="L48" s="901"/>
      <c r="M48" s="850"/>
      <c r="N48" s="850"/>
    </row>
    <row r="49" spans="1:14" ht="15.75" thickBot="1">
      <c r="A49" s="850"/>
      <c r="B49" s="850"/>
      <c r="C49" s="1591"/>
      <c r="D49" s="1067" t="s">
        <v>510</v>
      </c>
      <c r="E49" s="1062">
        <v>0.3</v>
      </c>
      <c r="F49" s="1062">
        <v>0</v>
      </c>
      <c r="G49" s="1063">
        <v>0.3</v>
      </c>
      <c r="H49" s="850"/>
      <c r="I49" s="850"/>
      <c r="J49" s="850"/>
      <c r="K49" s="850"/>
      <c r="L49" s="901"/>
      <c r="M49" s="850"/>
      <c r="N49" s="850"/>
    </row>
    <row r="50" spans="1:14" ht="15">
      <c r="A50" s="850"/>
      <c r="B50" s="850"/>
      <c r="C50" s="1589" t="s">
        <v>807</v>
      </c>
      <c r="D50" s="1068" t="s">
        <v>789</v>
      </c>
      <c r="E50" s="1059">
        <v>2</v>
      </c>
      <c r="F50" s="1005">
        <v>0</v>
      </c>
      <c r="G50" s="1060">
        <v>2</v>
      </c>
      <c r="H50" s="850"/>
      <c r="I50" s="850"/>
      <c r="J50" s="850"/>
      <c r="K50" s="850"/>
      <c r="L50" s="901"/>
      <c r="M50" s="850"/>
      <c r="N50" s="850"/>
    </row>
    <row r="51" spans="1:14" ht="15">
      <c r="A51" s="850"/>
      <c r="B51" s="850"/>
      <c r="C51" s="1590"/>
      <c r="D51" s="1064" t="s">
        <v>649</v>
      </c>
      <c r="E51" s="1059">
        <v>0.4</v>
      </c>
      <c r="F51" s="1005">
        <v>0</v>
      </c>
      <c r="G51" s="1009">
        <v>0.4</v>
      </c>
      <c r="H51" s="850"/>
      <c r="I51" s="850"/>
      <c r="J51" s="850"/>
      <c r="K51" s="850"/>
      <c r="L51" s="901"/>
      <c r="M51" s="850"/>
      <c r="N51" s="850"/>
    </row>
    <row r="52" spans="1:14" ht="15">
      <c r="A52" s="850"/>
      <c r="B52" s="850"/>
      <c r="C52" s="1590"/>
      <c r="D52" s="1069" t="s">
        <v>511</v>
      </c>
      <c r="E52" s="1059">
        <v>0</v>
      </c>
      <c r="F52" s="1005">
        <v>0</v>
      </c>
      <c r="G52" s="1009">
        <v>0</v>
      </c>
      <c r="H52" s="850"/>
      <c r="I52" s="850"/>
      <c r="J52" s="850"/>
      <c r="K52" s="850"/>
      <c r="L52" s="901"/>
      <c r="M52" s="850"/>
      <c r="N52" s="850"/>
    </row>
    <row r="53" spans="1:14" ht="15">
      <c r="A53" s="850"/>
      <c r="B53" s="850"/>
      <c r="C53" s="1590"/>
      <c r="D53" s="1069" t="s">
        <v>788</v>
      </c>
      <c r="E53" s="1059">
        <v>0.1</v>
      </c>
      <c r="F53" s="1005">
        <v>0</v>
      </c>
      <c r="G53" s="1009">
        <v>0.1</v>
      </c>
      <c r="H53" s="850"/>
      <c r="I53" s="850"/>
      <c r="J53" s="850"/>
      <c r="K53" s="850"/>
      <c r="L53" s="901"/>
      <c r="M53" s="850"/>
      <c r="N53" s="850"/>
    </row>
    <row r="54" spans="1:14" ht="15">
      <c r="A54" s="850"/>
      <c r="B54" s="850"/>
      <c r="C54" s="1590"/>
      <c r="D54" s="1069" t="s">
        <v>509</v>
      </c>
      <c r="E54" s="1059">
        <v>0.8</v>
      </c>
      <c r="F54" s="1005">
        <v>0</v>
      </c>
      <c r="G54" s="1009">
        <v>0.8</v>
      </c>
      <c r="H54" s="850"/>
      <c r="I54" s="850"/>
      <c r="J54" s="850"/>
      <c r="K54" s="850"/>
      <c r="L54" s="901"/>
      <c r="M54" s="850"/>
      <c r="N54" s="850"/>
    </row>
    <row r="55" spans="1:14" ht="15.75" thickBot="1">
      <c r="A55" s="850"/>
      <c r="B55" s="850"/>
      <c r="C55" s="1591"/>
      <c r="D55" s="1067" t="s">
        <v>510</v>
      </c>
      <c r="E55" s="1059">
        <v>0.9</v>
      </c>
      <c r="F55" s="1005">
        <v>0</v>
      </c>
      <c r="G55" s="1009">
        <v>0.9</v>
      </c>
      <c r="H55" s="850"/>
      <c r="I55" s="850"/>
      <c r="J55" s="850"/>
      <c r="K55" s="850"/>
      <c r="L55" s="901"/>
      <c r="M55" s="850"/>
      <c r="N55" s="850"/>
    </row>
    <row r="56" spans="1:14" ht="15.75" thickBot="1">
      <c r="A56" s="850"/>
      <c r="B56" s="850"/>
      <c r="C56" s="895" t="s">
        <v>512</v>
      </c>
      <c r="D56" s="896"/>
      <c r="E56" s="1070">
        <v>23.4</v>
      </c>
      <c r="F56" s="1070">
        <v>0.5</v>
      </c>
      <c r="G56" s="1070">
        <v>23.9</v>
      </c>
      <c r="H56" s="1037"/>
      <c r="I56" s="850"/>
      <c r="J56" s="850"/>
      <c r="K56" s="850"/>
      <c r="L56" s="850"/>
      <c r="M56" s="901"/>
      <c r="N56" s="850"/>
    </row>
    <row r="57" spans="1:14" ht="15.75" thickBot="1">
      <c r="A57" s="850"/>
      <c r="B57" s="850"/>
      <c r="C57" s="1071" t="s">
        <v>477</v>
      </c>
      <c r="D57" s="898"/>
      <c r="E57" s="1059">
        <v>-0.3</v>
      </c>
      <c r="F57" s="1005"/>
      <c r="G57" s="1009">
        <v>-0.3</v>
      </c>
      <c r="H57" s="1037"/>
      <c r="I57" s="1037"/>
      <c r="J57" s="1037"/>
      <c r="K57" s="850"/>
      <c r="L57" s="850"/>
      <c r="M57" s="901"/>
      <c r="N57" s="850"/>
    </row>
    <row r="58" spans="1:14" ht="15.75" thickBot="1">
      <c r="A58" s="850"/>
      <c r="B58" s="850"/>
      <c r="C58" s="895" t="s">
        <v>513</v>
      </c>
      <c r="D58" s="896"/>
      <c r="E58" s="1070">
        <v>23.1</v>
      </c>
      <c r="F58" s="1070">
        <v>0.5</v>
      </c>
      <c r="G58" s="1070">
        <v>23.6</v>
      </c>
      <c r="H58" s="850"/>
      <c r="I58" s="850"/>
      <c r="J58" s="850"/>
      <c r="K58" s="850"/>
      <c r="L58" s="901"/>
      <c r="M58" s="850"/>
      <c r="N58" s="850"/>
    </row>
    <row r="59" spans="1:14" ht="13.5" thickBot="1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</row>
    <row r="60" spans="1:14" ht="15.75" thickBot="1">
      <c r="A60" s="850"/>
      <c r="B60" s="850"/>
      <c r="C60" s="1072" t="s">
        <v>514</v>
      </c>
      <c r="D60" s="1073"/>
      <c r="E60" s="1074" t="s">
        <v>804</v>
      </c>
      <c r="F60" s="1074" t="s">
        <v>803</v>
      </c>
      <c r="G60" s="1074" t="s">
        <v>809</v>
      </c>
      <c r="H60" s="1074" t="s">
        <v>807</v>
      </c>
      <c r="I60" s="1074" t="s">
        <v>810</v>
      </c>
      <c r="J60" s="850"/>
      <c r="K60" s="850"/>
      <c r="L60" s="850"/>
      <c r="M60" s="901"/>
      <c r="N60" s="850"/>
    </row>
    <row r="61" spans="1:14" ht="18.75" thickBot="1">
      <c r="A61" s="850"/>
      <c r="B61" s="850"/>
      <c r="C61" s="1075" t="s">
        <v>613</v>
      </c>
      <c r="D61" s="1076"/>
      <c r="E61" s="853" t="s">
        <v>688</v>
      </c>
      <c r="F61" s="853" t="s">
        <v>688</v>
      </c>
      <c r="G61" s="853" t="s">
        <v>688</v>
      </c>
      <c r="H61" s="853" t="s">
        <v>688</v>
      </c>
      <c r="I61" s="853" t="s">
        <v>688</v>
      </c>
      <c r="J61" s="850"/>
      <c r="K61" s="850"/>
      <c r="L61" s="850"/>
      <c r="M61" s="850"/>
      <c r="N61" s="901"/>
    </row>
    <row r="62" spans="1:14" ht="15">
      <c r="A62" s="850"/>
      <c r="B62" s="850"/>
      <c r="C62" s="1077" t="s">
        <v>515</v>
      </c>
      <c r="D62" s="1078"/>
      <c r="E62" s="1059">
        <v>0.2</v>
      </c>
      <c r="F62" s="1005">
        <v>3.4</v>
      </c>
      <c r="G62" s="1005">
        <v>0</v>
      </c>
      <c r="H62" s="1005">
        <v>0</v>
      </c>
      <c r="I62" s="1079">
        <v>3.6</v>
      </c>
      <c r="J62" s="850"/>
      <c r="K62" s="850"/>
      <c r="L62" s="850"/>
      <c r="M62" s="850"/>
      <c r="N62" s="901"/>
    </row>
    <row r="63" spans="1:14" ht="15">
      <c r="A63" s="850"/>
      <c r="B63" s="850"/>
      <c r="C63" s="1080" t="s">
        <v>516</v>
      </c>
      <c r="D63" s="1081"/>
      <c r="E63" s="1059">
        <v>0</v>
      </c>
      <c r="F63" s="1005">
        <v>0</v>
      </c>
      <c r="G63" s="1005">
        <v>0</v>
      </c>
      <c r="H63" s="1005">
        <v>0</v>
      </c>
      <c r="I63" s="1025">
        <v>0</v>
      </c>
      <c r="J63" s="850"/>
      <c r="K63" s="850"/>
      <c r="L63" s="850"/>
      <c r="M63" s="850"/>
      <c r="N63" s="901"/>
    </row>
    <row r="64" spans="1:14" ht="15">
      <c r="A64" s="850"/>
      <c r="B64" s="850"/>
      <c r="C64" s="1080" t="s">
        <v>652</v>
      </c>
      <c r="D64" s="1081"/>
      <c r="E64" s="1059">
        <v>0</v>
      </c>
      <c r="F64" s="1005">
        <v>0</v>
      </c>
      <c r="G64" s="1005">
        <v>0</v>
      </c>
      <c r="H64" s="1005">
        <v>0</v>
      </c>
      <c r="I64" s="1025">
        <v>0</v>
      </c>
      <c r="J64" s="850"/>
      <c r="K64" s="850"/>
      <c r="L64" s="850"/>
      <c r="M64" s="850"/>
      <c r="N64" s="901"/>
    </row>
    <row r="65" spans="1:14" ht="15">
      <c r="A65" s="850"/>
      <c r="B65" s="850"/>
      <c r="C65" s="1080" t="s">
        <v>653</v>
      </c>
      <c r="D65" s="1081"/>
      <c r="E65" s="1059">
        <v>0</v>
      </c>
      <c r="F65" s="1005">
        <v>0</v>
      </c>
      <c r="G65" s="1005">
        <v>0</v>
      </c>
      <c r="H65" s="1005">
        <v>0</v>
      </c>
      <c r="I65" s="1025">
        <v>0</v>
      </c>
      <c r="J65" s="850"/>
      <c r="K65" s="850"/>
      <c r="L65" s="850"/>
      <c r="M65" s="850"/>
      <c r="N65" s="901"/>
    </row>
    <row r="66" spans="1:14" ht="15">
      <c r="A66" s="850"/>
      <c r="B66" s="850"/>
      <c r="C66" s="1080" t="s">
        <v>654</v>
      </c>
      <c r="D66" s="1081"/>
      <c r="E66" s="1059">
        <v>0</v>
      </c>
      <c r="F66" s="1005">
        <v>0</v>
      </c>
      <c r="G66" s="1005">
        <v>0</v>
      </c>
      <c r="H66" s="1005">
        <v>0</v>
      </c>
      <c r="I66" s="1025">
        <v>0</v>
      </c>
      <c r="J66" s="850"/>
      <c r="K66" s="850"/>
      <c r="L66" s="850"/>
      <c r="M66" s="850"/>
      <c r="N66" s="901"/>
    </row>
    <row r="67" spans="1:14" ht="15">
      <c r="A67" s="850"/>
      <c r="B67" s="850"/>
      <c r="C67" s="1080" t="s">
        <v>655</v>
      </c>
      <c r="D67" s="1081"/>
      <c r="E67" s="1059">
        <v>0</v>
      </c>
      <c r="F67" s="1005">
        <v>0</v>
      </c>
      <c r="G67" s="1005">
        <v>0</v>
      </c>
      <c r="H67" s="1005">
        <v>0</v>
      </c>
      <c r="I67" s="1025">
        <v>0</v>
      </c>
      <c r="J67" s="850"/>
      <c r="K67" s="850"/>
      <c r="L67" s="850"/>
      <c r="M67" s="850"/>
      <c r="N67" s="901"/>
    </row>
    <row r="68" spans="1:14" ht="15">
      <c r="A68" s="850"/>
      <c r="B68" s="850"/>
      <c r="C68" s="1080" t="s">
        <v>656</v>
      </c>
      <c r="D68" s="1081"/>
      <c r="E68" s="1059">
        <v>0</v>
      </c>
      <c r="F68" s="1005">
        <v>0</v>
      </c>
      <c r="G68" s="1005">
        <v>0</v>
      </c>
      <c r="H68" s="1005">
        <v>0</v>
      </c>
      <c r="I68" s="1025">
        <v>0</v>
      </c>
      <c r="J68" s="850"/>
      <c r="K68" s="850"/>
      <c r="L68" s="850"/>
      <c r="M68" s="850"/>
      <c r="N68" s="901"/>
    </row>
    <row r="69" spans="1:14" ht="15">
      <c r="A69" s="850"/>
      <c r="B69" s="850"/>
      <c r="C69" s="1080" t="s">
        <v>674</v>
      </c>
      <c r="D69" s="1082"/>
      <c r="E69" s="1059">
        <v>0</v>
      </c>
      <c r="F69" s="1005">
        <v>3.4</v>
      </c>
      <c r="G69" s="1005">
        <v>0</v>
      </c>
      <c r="H69" s="1005">
        <v>0</v>
      </c>
      <c r="I69" s="1036">
        <v>3.4</v>
      </c>
      <c r="J69" s="850"/>
      <c r="K69" s="850"/>
      <c r="L69" s="850"/>
      <c r="M69" s="850"/>
      <c r="N69" s="901"/>
    </row>
    <row r="70" spans="1:14" ht="15.75" thickBot="1">
      <c r="A70" s="850"/>
      <c r="B70" s="850"/>
      <c r="C70" s="1083" t="s">
        <v>675</v>
      </c>
      <c r="D70" s="1084"/>
      <c r="E70" s="1059">
        <v>0.4</v>
      </c>
      <c r="F70" s="1005">
        <v>0.8</v>
      </c>
      <c r="G70" s="1005">
        <v>0.1</v>
      </c>
      <c r="H70" s="1005">
        <v>0</v>
      </c>
      <c r="I70" s="1085">
        <v>1.3</v>
      </c>
      <c r="J70" s="850"/>
      <c r="K70" s="850"/>
      <c r="L70" s="850"/>
      <c r="M70" s="850"/>
      <c r="N70" s="901"/>
    </row>
    <row r="71" spans="1:14" ht="15.75" thickBot="1">
      <c r="A71" s="850"/>
      <c r="B71" s="850"/>
      <c r="C71" s="1086" t="s">
        <v>666</v>
      </c>
      <c r="D71" s="1087"/>
      <c r="E71" s="1043">
        <v>0.6</v>
      </c>
      <c r="F71" s="1043">
        <v>7.6</v>
      </c>
      <c r="G71" s="1043">
        <v>0.1</v>
      </c>
      <c r="H71" s="1043">
        <v>0</v>
      </c>
      <c r="I71" s="1043">
        <v>8.3</v>
      </c>
      <c r="J71" s="850"/>
      <c r="K71" s="850"/>
      <c r="L71" s="850"/>
      <c r="M71" s="850"/>
      <c r="N71" s="901"/>
    </row>
    <row r="72" spans="1:14" ht="15.75" thickBot="1">
      <c r="A72" s="850"/>
      <c r="B72" s="850"/>
      <c r="C72" s="1088" t="s">
        <v>477</v>
      </c>
      <c r="D72" s="898"/>
      <c r="E72" s="1059"/>
      <c r="F72" s="1005"/>
      <c r="G72" s="1005"/>
      <c r="H72" s="1005"/>
      <c r="I72" s="1043">
        <v>0</v>
      </c>
      <c r="J72" s="850"/>
      <c r="K72" s="850"/>
      <c r="L72" s="850"/>
      <c r="M72" s="901"/>
      <c r="N72" s="850"/>
    </row>
    <row r="73" spans="1:14" ht="15.75" thickBot="1">
      <c r="A73" s="850"/>
      <c r="B73" s="850"/>
      <c r="C73" s="1086" t="s">
        <v>529</v>
      </c>
      <c r="D73" s="896"/>
      <c r="E73" s="1089">
        <v>0.6</v>
      </c>
      <c r="F73" s="1089">
        <v>7.6</v>
      </c>
      <c r="G73" s="1089">
        <v>0.1</v>
      </c>
      <c r="H73" s="1089">
        <v>0</v>
      </c>
      <c r="I73" s="1089">
        <v>8.3</v>
      </c>
      <c r="J73" s="850"/>
      <c r="K73" s="850"/>
      <c r="L73" s="850"/>
      <c r="M73" s="901"/>
      <c r="N73" s="850"/>
    </row>
    <row r="74" spans="1:14" ht="15.75" thickBot="1">
      <c r="A74" s="850"/>
      <c r="B74" s="850"/>
      <c r="C74" s="956"/>
      <c r="D74" s="1090"/>
      <c r="E74" s="1090"/>
      <c r="F74" s="1090"/>
      <c r="G74" s="1090"/>
      <c r="H74" s="1091"/>
      <c r="I74" s="1091"/>
      <c r="J74" s="1091"/>
      <c r="K74" s="1091"/>
      <c r="L74" s="850"/>
      <c r="M74" s="850"/>
      <c r="N74" s="850"/>
    </row>
    <row r="75" spans="1:14" ht="15.75" thickBot="1">
      <c r="A75" s="850"/>
      <c r="B75" s="850"/>
      <c r="C75" s="1086" t="s">
        <v>400</v>
      </c>
      <c r="D75" s="1087"/>
      <c r="E75" s="1092">
        <v>32.2</v>
      </c>
      <c r="F75" s="1037"/>
      <c r="G75" s="850"/>
      <c r="H75" s="850"/>
      <c r="I75" s="850"/>
      <c r="J75" s="850"/>
      <c r="K75" s="850"/>
      <c r="L75" s="850"/>
      <c r="M75" s="901"/>
      <c r="N75" s="850"/>
    </row>
    <row r="76" spans="1:14" ht="15.75" thickBot="1">
      <c r="A76" s="850"/>
      <c r="B76" s="850"/>
      <c r="C76" s="1086" t="s">
        <v>477</v>
      </c>
      <c r="D76" s="898"/>
      <c r="E76" s="1093">
        <v>-0.3</v>
      </c>
      <c r="F76" s="1037"/>
      <c r="G76" s="850"/>
      <c r="H76" s="850"/>
      <c r="I76" s="850"/>
      <c r="J76" s="850"/>
      <c r="K76" s="850"/>
      <c r="L76" s="850"/>
      <c r="M76" s="901"/>
      <c r="N76" s="850"/>
    </row>
    <row r="77" spans="1:14" ht="15.75" thickBot="1">
      <c r="A77" s="850"/>
      <c r="B77" s="850"/>
      <c r="C77" s="1086" t="s">
        <v>289</v>
      </c>
      <c r="D77" s="896"/>
      <c r="E77" s="1089">
        <v>31.9</v>
      </c>
      <c r="F77" s="850"/>
      <c r="G77" s="850"/>
      <c r="H77" s="850"/>
      <c r="I77" s="850"/>
      <c r="J77" s="850"/>
      <c r="K77" s="850"/>
      <c r="L77" s="850"/>
      <c r="M77" s="901"/>
      <c r="N77" s="850"/>
    </row>
    <row r="78" spans="1:14" ht="15" thickBot="1">
      <c r="A78" s="850"/>
      <c r="B78" s="850"/>
      <c r="C78" s="846"/>
      <c r="D78" s="846"/>
      <c r="E78" s="846"/>
      <c r="F78" s="846"/>
      <c r="G78" s="846"/>
      <c r="H78" s="846"/>
      <c r="I78" s="846"/>
      <c r="J78" s="846"/>
      <c r="K78" s="846"/>
      <c r="L78" s="850"/>
      <c r="M78" s="850"/>
      <c r="N78" s="850"/>
    </row>
    <row r="79" spans="1:14" ht="18.75" thickBot="1">
      <c r="A79" s="850"/>
      <c r="B79" s="850"/>
      <c r="C79" s="1094" t="s">
        <v>290</v>
      </c>
      <c r="D79" s="1095"/>
      <c r="E79" s="1096"/>
      <c r="F79" s="1096"/>
      <c r="G79" s="1097"/>
      <c r="H79" s="850"/>
      <c r="I79" s="850"/>
      <c r="J79" s="850"/>
      <c r="K79" s="850"/>
      <c r="L79" s="850"/>
      <c r="M79" s="850"/>
      <c r="N79" s="850"/>
    </row>
    <row r="80" spans="1:14" ht="60.75" thickBot="1">
      <c r="A80" s="850"/>
      <c r="B80" s="850"/>
      <c r="C80" s="1098" t="s">
        <v>613</v>
      </c>
      <c r="D80" s="1051"/>
      <c r="E80" s="1099" t="s">
        <v>810</v>
      </c>
      <c r="F80" s="1100" t="s">
        <v>291</v>
      </c>
      <c r="G80" s="1100" t="s">
        <v>292</v>
      </c>
      <c r="H80" s="850"/>
      <c r="I80" s="850"/>
      <c r="J80" s="850"/>
      <c r="K80" s="850"/>
      <c r="L80" s="850"/>
      <c r="M80" s="850"/>
      <c r="N80" s="850"/>
    </row>
    <row r="81" spans="1:14" ht="15.75" thickBot="1">
      <c r="A81" s="850"/>
      <c r="B81" s="850"/>
      <c r="C81" s="1101"/>
      <c r="D81" s="1102"/>
      <c r="E81" s="1103" t="s">
        <v>688</v>
      </c>
      <c r="F81" s="853" t="s">
        <v>688</v>
      </c>
      <c r="G81" s="853" t="s">
        <v>688</v>
      </c>
      <c r="H81" s="850"/>
      <c r="I81" s="850"/>
      <c r="J81" s="850"/>
      <c r="K81" s="850"/>
      <c r="L81" s="850"/>
      <c r="M81" s="850"/>
      <c r="N81" s="850"/>
    </row>
    <row r="82" spans="1:14" ht="14.25">
      <c r="A82" s="850"/>
      <c r="B82" s="850"/>
      <c r="C82" s="1104" t="s">
        <v>412</v>
      </c>
      <c r="D82" s="1105"/>
      <c r="E82" s="1060">
        <v>0.2</v>
      </c>
      <c r="F82" s="1005">
        <v>0.2</v>
      </c>
      <c r="G82" s="1059">
        <v>0</v>
      </c>
      <c r="H82" s="850"/>
      <c r="I82" s="850"/>
      <c r="J82" s="850"/>
      <c r="K82" s="850"/>
      <c r="L82" s="850"/>
      <c r="M82" s="850"/>
      <c r="N82" s="850"/>
    </row>
    <row r="83" spans="1:14" ht="14.25">
      <c r="A83" s="850"/>
      <c r="B83" s="850"/>
      <c r="C83" s="1106" t="s">
        <v>293</v>
      </c>
      <c r="D83" s="937"/>
      <c r="E83" s="1009">
        <v>0</v>
      </c>
      <c r="F83" s="1005">
        <v>0</v>
      </c>
      <c r="G83" s="1059">
        <v>0</v>
      </c>
      <c r="H83" s="850"/>
      <c r="I83" s="850"/>
      <c r="J83" s="850"/>
      <c r="K83" s="850"/>
      <c r="L83" s="850"/>
      <c r="M83" s="850"/>
      <c r="N83" s="850"/>
    </row>
    <row r="84" spans="1:14" ht="14.25">
      <c r="A84" s="850"/>
      <c r="B84" s="850"/>
      <c r="C84" s="1106" t="s">
        <v>294</v>
      </c>
      <c r="D84" s="937"/>
      <c r="E84" s="1009">
        <v>1.3</v>
      </c>
      <c r="F84" s="1005">
        <v>1.3</v>
      </c>
      <c r="G84" s="1059">
        <v>0</v>
      </c>
      <c r="H84" s="850"/>
      <c r="I84" s="850"/>
      <c r="J84" s="850"/>
      <c r="K84" s="850"/>
      <c r="L84" s="850"/>
      <c r="M84" s="850"/>
      <c r="N84" s="850"/>
    </row>
    <row r="85" spans="1:14" ht="14.25">
      <c r="A85" s="850"/>
      <c r="B85" s="850"/>
      <c r="C85" s="1106" t="s">
        <v>295</v>
      </c>
      <c r="D85" s="937"/>
      <c r="E85" s="1009">
        <v>0.1</v>
      </c>
      <c r="F85" s="1005">
        <v>0.1</v>
      </c>
      <c r="G85" s="1059">
        <v>0</v>
      </c>
      <c r="H85" s="850"/>
      <c r="I85" s="850"/>
      <c r="J85" s="850"/>
      <c r="K85" s="850"/>
      <c r="L85" s="850"/>
      <c r="M85" s="850"/>
      <c r="N85" s="850"/>
    </row>
    <row r="86" spans="1:14" ht="14.25">
      <c r="A86" s="850"/>
      <c r="B86" s="850"/>
      <c r="C86" s="1106" t="s">
        <v>401</v>
      </c>
      <c r="D86" s="937"/>
      <c r="E86" s="1009">
        <v>0.3</v>
      </c>
      <c r="F86" s="1005">
        <v>0.3</v>
      </c>
      <c r="G86" s="1059">
        <v>0</v>
      </c>
      <c r="H86" s="850"/>
      <c r="I86" s="850"/>
      <c r="J86" s="850"/>
      <c r="K86" s="850"/>
      <c r="L86" s="850"/>
      <c r="M86" s="850"/>
      <c r="N86" s="850"/>
    </row>
    <row r="87" spans="1:14" ht="14.25">
      <c r="A87" s="850"/>
      <c r="B87" s="850"/>
      <c r="C87" s="1106" t="s">
        <v>665</v>
      </c>
      <c r="D87" s="937"/>
      <c r="E87" s="1009">
        <v>0.6</v>
      </c>
      <c r="F87" s="1005">
        <v>0.6</v>
      </c>
      <c r="G87" s="1059">
        <v>0</v>
      </c>
      <c r="H87" s="850"/>
      <c r="I87" s="850"/>
      <c r="J87" s="850"/>
      <c r="K87" s="850"/>
      <c r="L87" s="850"/>
      <c r="M87" s="850"/>
      <c r="N87" s="850"/>
    </row>
    <row r="88" spans="1:14" ht="15" thickBot="1">
      <c r="A88" s="850"/>
      <c r="B88" s="850"/>
      <c r="C88" s="1106" t="s">
        <v>795</v>
      </c>
      <c r="D88" s="937"/>
      <c r="E88" s="1009">
        <v>0.5</v>
      </c>
      <c r="F88" s="1005">
        <v>0</v>
      </c>
      <c r="G88" s="1059">
        <v>0.5</v>
      </c>
      <c r="H88" s="1037"/>
      <c r="I88" s="850"/>
      <c r="J88" s="850"/>
      <c r="K88" s="850"/>
      <c r="L88" s="850"/>
      <c r="M88" s="850"/>
      <c r="N88" s="850"/>
    </row>
    <row r="89" spans="1:14" ht="15.75" thickBot="1">
      <c r="A89" s="850"/>
      <c r="B89" s="850"/>
      <c r="C89" s="895" t="s">
        <v>796</v>
      </c>
      <c r="D89" s="896"/>
      <c r="E89" s="1043">
        <v>3</v>
      </c>
      <c r="F89" s="1043">
        <v>2.5</v>
      </c>
      <c r="G89" s="1043">
        <v>0.5</v>
      </c>
      <c r="H89" s="1037"/>
      <c r="I89" s="850"/>
      <c r="J89" s="850"/>
      <c r="K89" s="850"/>
      <c r="L89" s="850"/>
      <c r="M89" s="850"/>
      <c r="N89" s="850"/>
    </row>
  </sheetData>
  <sheetProtection/>
  <mergeCells count="11">
    <mergeCell ref="C44:C49"/>
    <mergeCell ref="C50:C55"/>
    <mergeCell ref="E28:F28"/>
    <mergeCell ref="C31:C32"/>
    <mergeCell ref="C33:C34"/>
    <mergeCell ref="C35:C37"/>
    <mergeCell ref="C11:D11"/>
    <mergeCell ref="C12:D12"/>
    <mergeCell ref="C13:D13"/>
    <mergeCell ref="C14:D14"/>
    <mergeCell ref="C38:C43"/>
  </mergeCells>
  <hyperlinks>
    <hyperlink ref="E1" location="Inputs!A1" display="Index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3">
      <selection activeCell="E38" sqref="E38:E39"/>
    </sheetView>
  </sheetViews>
  <sheetFormatPr defaultColWidth="8.8515625" defaultRowHeight="12.75"/>
  <cols>
    <col min="1" max="5" width="8.8515625" style="0" customWidth="1"/>
    <col min="6" max="6" width="25.00390625" style="0" customWidth="1"/>
    <col min="7" max="7" width="8.8515625" style="0" customWidth="1"/>
    <col min="8" max="8" width="13.00390625" style="0" customWidth="1"/>
    <col min="9" max="9" width="15.7109375" style="0" customWidth="1"/>
  </cols>
  <sheetData>
    <row r="1" spans="1:6" ht="12.75">
      <c r="A1" s="388" t="s">
        <v>621</v>
      </c>
      <c r="F1" s="390" t="s">
        <v>775</v>
      </c>
    </row>
    <row r="2" ht="12.75">
      <c r="A2" s="388"/>
    </row>
    <row r="3" ht="12.75">
      <c r="A3" s="388" t="s">
        <v>558</v>
      </c>
    </row>
    <row r="5" spans="1:13" ht="12.75">
      <c r="A5" s="1147" t="s">
        <v>622</v>
      </c>
      <c r="B5" s="1148"/>
      <c r="C5" s="1148"/>
      <c r="D5" s="1148"/>
      <c r="E5" s="1148"/>
      <c r="F5" s="1149"/>
      <c r="G5" s="1149"/>
      <c r="H5" s="1149"/>
      <c r="I5" s="1149"/>
      <c r="J5" s="1149"/>
      <c r="K5" s="1149"/>
      <c r="L5" s="1149"/>
      <c r="M5" s="1149"/>
    </row>
    <row r="6" spans="1:13" ht="13.5" thickBot="1">
      <c r="A6" s="1107"/>
      <c r="B6" s="1150"/>
      <c r="C6" s="1108"/>
      <c r="D6" s="1109"/>
      <c r="E6" s="1150"/>
      <c r="F6" s="1150"/>
      <c r="G6" s="1107"/>
      <c r="H6" s="1107"/>
      <c r="I6" s="1107"/>
      <c r="J6" s="1107"/>
      <c r="K6" s="1107"/>
      <c r="L6" s="1107"/>
      <c r="M6" s="1107"/>
    </row>
    <row r="7" spans="1:13" ht="13.5" thickBot="1">
      <c r="A7" s="1149"/>
      <c r="B7" s="1151"/>
      <c r="C7" s="1152" t="s">
        <v>687</v>
      </c>
      <c r="D7" s="1110"/>
      <c r="E7" s="1153"/>
      <c r="F7" s="1153"/>
      <c r="G7" s="1153"/>
      <c r="H7" s="1154"/>
      <c r="I7" s="1155"/>
      <c r="J7" s="1149"/>
      <c r="K7" s="1149"/>
      <c r="L7" s="1149"/>
      <c r="M7" s="1149"/>
    </row>
    <row r="8" spans="1:13" ht="13.5" thickBot="1">
      <c r="A8" s="1149"/>
      <c r="B8" s="1156"/>
      <c r="C8" s="956"/>
      <c r="D8" s="956"/>
      <c r="E8" s="1149"/>
      <c r="F8" s="1149"/>
      <c r="G8" s="1111" t="s">
        <v>688</v>
      </c>
      <c r="H8" s="1111" t="s">
        <v>688</v>
      </c>
      <c r="I8" s="1157"/>
      <c r="J8" s="1149"/>
      <c r="K8" s="1149"/>
      <c r="L8" s="1149"/>
      <c r="M8" s="1149"/>
    </row>
    <row r="9" spans="1:13" ht="12.75">
      <c r="A9" s="1149"/>
      <c r="B9" s="1158"/>
      <c r="C9" s="1152" t="s">
        <v>689</v>
      </c>
      <c r="D9" s="956"/>
      <c r="E9" s="1159"/>
      <c r="F9" s="1149"/>
      <c r="G9" s="1409"/>
      <c r="H9" s="1112"/>
      <c r="I9" s="1410"/>
      <c r="J9" s="1411"/>
      <c r="K9" s="1411"/>
      <c r="L9" s="1411"/>
      <c r="M9" s="1411"/>
    </row>
    <row r="10" spans="1:13" ht="12.75">
      <c r="A10" s="1149"/>
      <c r="B10" s="1113"/>
      <c r="C10" s="819"/>
      <c r="D10" s="838" t="s">
        <v>676</v>
      </c>
      <c r="E10" s="835"/>
      <c r="F10" s="1107"/>
      <c r="G10" s="1160">
        <v>4.2</v>
      </c>
      <c r="H10" s="1161"/>
      <c r="I10" s="1412"/>
      <c r="J10" s="1413"/>
      <c r="K10" s="1413"/>
      <c r="L10" s="1413"/>
      <c r="M10" s="1411"/>
    </row>
    <row r="11" spans="1:13" ht="12.75">
      <c r="A11" s="1149"/>
      <c r="B11" s="1113"/>
      <c r="C11" s="819"/>
      <c r="D11" s="838" t="s">
        <v>677</v>
      </c>
      <c r="E11" s="835"/>
      <c r="F11" s="1107"/>
      <c r="G11" s="1160">
        <v>0.2</v>
      </c>
      <c r="H11" s="1161"/>
      <c r="I11" s="1412"/>
      <c r="J11" s="1413"/>
      <c r="K11" s="1413"/>
      <c r="L11" s="1413"/>
      <c r="M11" s="1411"/>
    </row>
    <row r="12" spans="1:13" ht="12.75">
      <c r="A12" s="1149"/>
      <c r="B12" s="1113"/>
      <c r="C12" s="819"/>
      <c r="D12" s="838" t="s">
        <v>678</v>
      </c>
      <c r="E12" s="835"/>
      <c r="F12" s="1114"/>
      <c r="G12" s="1160">
        <v>15.1</v>
      </c>
      <c r="H12" s="1161"/>
      <c r="I12" s="1412"/>
      <c r="J12" s="1413"/>
      <c r="K12" s="1413"/>
      <c r="L12" s="1413"/>
      <c r="M12" s="1411"/>
    </row>
    <row r="13" spans="1:13" ht="12.75">
      <c r="A13" s="1149"/>
      <c r="B13" s="1113"/>
      <c r="C13" s="819"/>
      <c r="D13" s="838" t="s">
        <v>791</v>
      </c>
      <c r="E13" s="835"/>
      <c r="F13" s="1114"/>
      <c r="G13" s="1160">
        <v>0.5</v>
      </c>
      <c r="H13" s="1161"/>
      <c r="I13" s="1412"/>
      <c r="J13" s="1413"/>
      <c r="K13" s="1413"/>
      <c r="L13" s="1413"/>
      <c r="M13" s="1411"/>
    </row>
    <row r="14" spans="1:13" ht="12.75">
      <c r="A14" s="1149"/>
      <c r="B14" s="1113"/>
      <c r="C14" s="819"/>
      <c r="D14" s="1162" t="s">
        <v>792</v>
      </c>
      <c r="E14" s="835"/>
      <c r="F14" s="1114"/>
      <c r="G14" s="1160">
        <v>0</v>
      </c>
      <c r="H14" s="1161"/>
      <c r="I14" s="1412"/>
      <c r="J14" s="1413"/>
      <c r="K14" s="1413"/>
      <c r="L14" s="1413"/>
      <c r="M14" s="1411"/>
    </row>
    <row r="15" spans="1:13" ht="12.75">
      <c r="A15" s="1149"/>
      <c r="B15" s="1113"/>
      <c r="C15" s="835"/>
      <c r="D15" s="1162" t="s">
        <v>526</v>
      </c>
      <c r="E15" s="835"/>
      <c r="F15" s="1107"/>
      <c r="G15" s="1163">
        <v>0</v>
      </c>
      <c r="H15" s="1161">
        <v>20</v>
      </c>
      <c r="I15" s="1412"/>
      <c r="J15" s="1413"/>
      <c r="K15" s="1413"/>
      <c r="L15" s="1413"/>
      <c r="M15" s="1411"/>
    </row>
    <row r="16" spans="1:13" ht="12.75">
      <c r="A16" s="1149"/>
      <c r="B16" s="1113"/>
      <c r="C16" s="1152" t="s">
        <v>679</v>
      </c>
      <c r="D16" s="1162"/>
      <c r="E16" s="835"/>
      <c r="F16" s="1107"/>
      <c r="G16" s="1164"/>
      <c r="H16" s="1165"/>
      <c r="I16" s="1412"/>
      <c r="J16" s="1413"/>
      <c r="K16" s="1413"/>
      <c r="L16" s="1413"/>
      <c r="M16" s="1411"/>
    </row>
    <row r="17" spans="1:13" ht="12.75">
      <c r="A17" s="1149"/>
      <c r="B17" s="1113"/>
      <c r="C17" s="835"/>
      <c r="D17" s="1162" t="s">
        <v>797</v>
      </c>
      <c r="E17" s="835"/>
      <c r="F17" s="1107"/>
      <c r="G17" s="1160">
        <v>0</v>
      </c>
      <c r="H17" s="1161"/>
      <c r="I17" s="1412"/>
      <c r="J17" s="1413"/>
      <c r="K17" s="1413"/>
      <c r="L17" s="1413"/>
      <c r="M17" s="1411"/>
    </row>
    <row r="18" spans="1:13" ht="12.75">
      <c r="A18" s="1149"/>
      <c r="B18" s="1113"/>
      <c r="C18" s="835"/>
      <c r="D18" s="1162" t="s">
        <v>663</v>
      </c>
      <c r="E18" s="835"/>
      <c r="F18" s="1107"/>
      <c r="G18" s="1160">
        <v>0</v>
      </c>
      <c r="H18" s="1161"/>
      <c r="I18" s="1412"/>
      <c r="J18" s="1413"/>
      <c r="K18" s="1413"/>
      <c r="L18" s="1413"/>
      <c r="M18" s="1411"/>
    </row>
    <row r="19" spans="1:13" ht="12.75">
      <c r="A19" s="1149"/>
      <c r="B19" s="1113"/>
      <c r="C19" s="835"/>
      <c r="D19" s="1162" t="s">
        <v>664</v>
      </c>
      <c r="E19" s="835"/>
      <c r="F19" s="1107"/>
      <c r="G19" s="1163">
        <v>0.1</v>
      </c>
      <c r="H19" s="1161">
        <v>0.1</v>
      </c>
      <c r="I19" s="1412"/>
      <c r="J19" s="1413"/>
      <c r="K19" s="1413"/>
      <c r="L19" s="1413"/>
      <c r="M19" s="1411"/>
    </row>
    <row r="20" spans="1:13" ht="12.75">
      <c r="A20" s="1149"/>
      <c r="B20" s="1113"/>
      <c r="C20" s="1152" t="s">
        <v>623</v>
      </c>
      <c r="D20" s="1162"/>
      <c r="E20" s="835"/>
      <c r="F20" s="1107"/>
      <c r="G20" s="1164"/>
      <c r="H20" s="1165"/>
      <c r="I20" s="1412"/>
      <c r="J20" s="1413"/>
      <c r="K20" s="1413"/>
      <c r="L20" s="1413"/>
      <c r="M20" s="1411"/>
    </row>
    <row r="21" spans="1:13" ht="12.75">
      <c r="A21" s="1149"/>
      <c r="B21" s="1113"/>
      <c r="C21" s="835"/>
      <c r="D21" s="1162" t="s">
        <v>751</v>
      </c>
      <c r="E21" s="835"/>
      <c r="F21" s="1107"/>
      <c r="G21" s="1160">
        <v>-0.3</v>
      </c>
      <c r="H21" s="1161"/>
      <c r="I21" s="1412"/>
      <c r="J21" s="1413"/>
      <c r="K21" s="1413"/>
      <c r="L21" s="1413"/>
      <c r="M21" s="1411"/>
    </row>
    <row r="22" spans="1:13" ht="12.75">
      <c r="A22" s="1149"/>
      <c r="B22" s="1113"/>
      <c r="C22" s="835"/>
      <c r="D22" s="838" t="s">
        <v>752</v>
      </c>
      <c r="E22" s="835"/>
      <c r="F22" s="1107"/>
      <c r="G22" s="1160">
        <v>17.8</v>
      </c>
      <c r="H22" s="1161"/>
      <c r="I22" s="1412"/>
      <c r="J22" s="1413"/>
      <c r="K22" s="1413"/>
      <c r="L22" s="1413"/>
      <c r="M22" s="1411"/>
    </row>
    <row r="23" spans="1:13" ht="12.75">
      <c r="A23" s="1149"/>
      <c r="B23" s="1113"/>
      <c r="C23" s="835"/>
      <c r="D23" s="1166" t="s">
        <v>753</v>
      </c>
      <c r="E23" s="835"/>
      <c r="F23" s="1114"/>
      <c r="G23" s="1163">
        <v>13.5</v>
      </c>
      <c r="H23" s="1161">
        <v>31</v>
      </c>
      <c r="I23" s="1412"/>
      <c r="J23" s="1413"/>
      <c r="K23" s="1413"/>
      <c r="L23" s="1413"/>
      <c r="M23" s="1411"/>
    </row>
    <row r="24" spans="1:13" ht="12.75">
      <c r="A24" s="1149"/>
      <c r="B24" s="1113"/>
      <c r="C24" s="835"/>
      <c r="D24" s="838"/>
      <c r="E24" s="1159"/>
      <c r="F24" s="1114"/>
      <c r="G24" s="1164"/>
      <c r="H24" s="1165"/>
      <c r="I24" s="1412"/>
      <c r="J24" s="1413"/>
      <c r="K24" s="1413"/>
      <c r="L24" s="1413"/>
      <c r="M24" s="1411"/>
    </row>
    <row r="25" spans="1:13" ht="13.5" thickBot="1">
      <c r="A25" s="1149"/>
      <c r="B25" s="1088"/>
      <c r="C25" s="1107"/>
      <c r="D25" s="838"/>
      <c r="E25" s="1167" t="s">
        <v>754</v>
      </c>
      <c r="F25" s="1150"/>
      <c r="G25" s="1168"/>
      <c r="H25" s="1169">
        <v>51.1</v>
      </c>
      <c r="I25" s="1412"/>
      <c r="J25" s="1413"/>
      <c r="K25" s="1413"/>
      <c r="L25" s="1413"/>
      <c r="M25" s="1411"/>
    </row>
    <row r="26" spans="1:13" ht="13.5" thickBot="1">
      <c r="A26" s="1149"/>
      <c r="B26" s="1170"/>
      <c r="C26" s="1171"/>
      <c r="D26" s="1171"/>
      <c r="E26" s="1171"/>
      <c r="F26" s="1172"/>
      <c r="G26" s="1414"/>
      <c r="H26" s="1414"/>
      <c r="I26" s="1415"/>
      <c r="J26" s="1413"/>
      <c r="K26" s="1413"/>
      <c r="L26" s="1413"/>
      <c r="M26" s="1411"/>
    </row>
    <row r="27" spans="1:13" ht="13.5" thickBot="1">
      <c r="A27" s="1149"/>
      <c r="B27" s="1150"/>
      <c r="C27" s="1153"/>
      <c r="D27" s="1149"/>
      <c r="E27" s="1167"/>
      <c r="F27" s="1150"/>
      <c r="G27" s="1413"/>
      <c r="H27" s="1413"/>
      <c r="I27" s="1413"/>
      <c r="J27" s="1413"/>
      <c r="K27" s="1413"/>
      <c r="L27" s="1413"/>
      <c r="M27" s="1411"/>
    </row>
    <row r="28" spans="1:13" ht="12.75">
      <c r="A28" s="1149"/>
      <c r="B28" s="1151"/>
      <c r="C28" s="1173" t="s">
        <v>755</v>
      </c>
      <c r="D28" s="1153"/>
      <c r="E28" s="1153"/>
      <c r="F28" s="1174"/>
      <c r="G28" s="1132"/>
      <c r="H28" s="1416"/>
      <c r="I28" s="1416"/>
      <c r="J28" s="1416"/>
      <c r="K28" s="1416"/>
      <c r="L28" s="1416"/>
      <c r="M28" s="1417"/>
    </row>
    <row r="29" spans="1:13" ht="13.5" thickBot="1">
      <c r="A29" s="1149"/>
      <c r="B29" s="1156"/>
      <c r="C29" s="1149"/>
      <c r="D29" s="1152" t="s">
        <v>756</v>
      </c>
      <c r="E29" s="1152"/>
      <c r="F29" s="1107"/>
      <c r="G29" s="1115"/>
      <c r="H29" s="1115"/>
      <c r="I29" s="1413"/>
      <c r="J29" s="1413"/>
      <c r="K29" s="1413"/>
      <c r="L29" s="1413"/>
      <c r="M29" s="1410"/>
    </row>
    <row r="30" spans="1:13" ht="13.5" thickBot="1">
      <c r="A30" s="1149"/>
      <c r="B30" s="1175"/>
      <c r="C30" s="1149"/>
      <c r="D30" s="1114"/>
      <c r="E30" s="835" t="s">
        <v>757</v>
      </c>
      <c r="F30" s="1114"/>
      <c r="G30" s="1116" t="s">
        <v>688</v>
      </c>
      <c r="H30" s="841"/>
      <c r="I30" s="1413"/>
      <c r="J30" s="1413"/>
      <c r="K30" s="1413"/>
      <c r="L30" s="1413"/>
      <c r="M30" s="1410"/>
    </row>
    <row r="31" spans="1:13" ht="12.75">
      <c r="A31" s="1149"/>
      <c r="B31" s="1175"/>
      <c r="C31" s="1149"/>
      <c r="D31" s="1114"/>
      <c r="E31" s="1176" t="s">
        <v>758</v>
      </c>
      <c r="F31" s="1149"/>
      <c r="G31" s="1177">
        <v>-0.09999999999999787</v>
      </c>
      <c r="H31" s="841"/>
      <c r="I31" s="1413"/>
      <c r="J31" s="1413"/>
      <c r="K31" s="1413"/>
      <c r="L31" s="1413"/>
      <c r="M31" s="1410"/>
    </row>
    <row r="32" spans="1:13" ht="12.75">
      <c r="A32" s="1149"/>
      <c r="B32" s="1175"/>
      <c r="C32" s="1149"/>
      <c r="D32" s="1114"/>
      <c r="E32" s="1176" t="s">
        <v>759</v>
      </c>
      <c r="F32" s="1149"/>
      <c r="G32" s="1177">
        <v>-0.5</v>
      </c>
      <c r="H32" s="841"/>
      <c r="I32" s="1413"/>
      <c r="J32" s="1413"/>
      <c r="K32" s="1413"/>
      <c r="L32" s="1413"/>
      <c r="M32" s="1410"/>
    </row>
    <row r="33" spans="1:13" ht="12.75">
      <c r="A33" s="1107"/>
      <c r="B33" s="1117"/>
      <c r="C33" s="1107"/>
      <c r="D33" s="1114"/>
      <c r="E33" s="1176" t="s">
        <v>479</v>
      </c>
      <c r="F33" s="1107"/>
      <c r="G33" s="1177">
        <v>0</v>
      </c>
      <c r="H33" s="841"/>
      <c r="I33" s="1115"/>
      <c r="J33" s="1115"/>
      <c r="K33" s="1115"/>
      <c r="L33" s="1115"/>
      <c r="M33" s="1118"/>
    </row>
    <row r="34" spans="1:13" ht="13.5" thickBot="1">
      <c r="A34" s="1107"/>
      <c r="B34" s="1117"/>
      <c r="C34" s="1107"/>
      <c r="D34" s="1114"/>
      <c r="E34" s="1178" t="s">
        <v>810</v>
      </c>
      <c r="F34" s="1114"/>
      <c r="G34" s="1179">
        <v>-0.5999999999999979</v>
      </c>
      <c r="H34" s="841"/>
      <c r="I34" s="1115"/>
      <c r="J34" s="1115"/>
      <c r="K34" s="1115"/>
      <c r="L34" s="1115"/>
      <c r="M34" s="1118"/>
    </row>
    <row r="35" spans="1:13" ht="13.5" thickTop="1">
      <c r="A35" s="1107"/>
      <c r="B35" s="1117"/>
      <c r="C35" s="1109"/>
      <c r="D35" s="1114"/>
      <c r="E35" s="1114"/>
      <c r="F35" s="1114"/>
      <c r="G35" s="841"/>
      <c r="H35" s="841"/>
      <c r="I35" s="1115"/>
      <c r="J35" s="1115"/>
      <c r="K35" s="1115"/>
      <c r="L35" s="1115"/>
      <c r="M35" s="1118"/>
    </row>
    <row r="36" spans="1:13" ht="51">
      <c r="A36" s="1107"/>
      <c r="B36" s="1088"/>
      <c r="C36" s="1114"/>
      <c r="D36" s="1114"/>
      <c r="E36" s="1180" t="s">
        <v>686</v>
      </c>
      <c r="F36" s="1107"/>
      <c r="G36" s="1181" t="s">
        <v>537</v>
      </c>
      <c r="H36" s="1181" t="s">
        <v>538</v>
      </c>
      <c r="I36" s="1181" t="s">
        <v>539</v>
      </c>
      <c r="J36" s="1181" t="s">
        <v>540</v>
      </c>
      <c r="K36" s="1182" t="s">
        <v>149</v>
      </c>
      <c r="L36" s="1183" t="s">
        <v>541</v>
      </c>
      <c r="M36" s="1118"/>
    </row>
    <row r="37" spans="1:13" ht="12.75">
      <c r="A37" s="1107"/>
      <c r="B37" s="1088"/>
      <c r="C37" s="1114"/>
      <c r="D37" s="1114"/>
      <c r="E37" s="1184" t="s">
        <v>542</v>
      </c>
      <c r="F37" s="1107"/>
      <c r="G37" s="1185" t="s">
        <v>543</v>
      </c>
      <c r="H37" s="1185" t="s">
        <v>543</v>
      </c>
      <c r="I37" s="1185" t="s">
        <v>543</v>
      </c>
      <c r="J37" s="1185" t="s">
        <v>543</v>
      </c>
      <c r="K37" s="1186" t="s">
        <v>543</v>
      </c>
      <c r="L37" s="1185"/>
      <c r="M37" s="1118"/>
    </row>
    <row r="38" spans="1:13" ht="12.75">
      <c r="A38" s="1107"/>
      <c r="B38" s="1088"/>
      <c r="C38" s="1114"/>
      <c r="D38" s="1114"/>
      <c r="E38" s="1187" t="s">
        <v>848</v>
      </c>
      <c r="F38" s="1107"/>
      <c r="G38" s="1188">
        <v>20.9</v>
      </c>
      <c r="H38" s="1188">
        <v>20.8</v>
      </c>
      <c r="I38" s="1189">
        <v>0.09999999999999787</v>
      </c>
      <c r="J38" s="1188">
        <v>0.09999999999999787</v>
      </c>
      <c r="K38" s="1189">
        <v>0</v>
      </c>
      <c r="L38" s="1190"/>
      <c r="M38" s="1118"/>
    </row>
    <row r="39" spans="1:13" ht="12.75">
      <c r="A39" s="1107"/>
      <c r="B39" s="1088"/>
      <c r="C39" s="1114"/>
      <c r="D39" s="1114"/>
      <c r="E39" s="1187" t="s">
        <v>849</v>
      </c>
      <c r="F39" s="1107"/>
      <c r="G39" s="1188">
        <v>1.1</v>
      </c>
      <c r="H39" s="1188">
        <v>0.9</v>
      </c>
      <c r="I39" s="1189">
        <v>0.2</v>
      </c>
      <c r="J39" s="1188">
        <v>0.5</v>
      </c>
      <c r="K39" s="1189">
        <v>-0.3</v>
      </c>
      <c r="L39" s="1187"/>
      <c r="M39" s="1118"/>
    </row>
    <row r="40" spans="1:13" ht="12.75">
      <c r="A40" s="1107"/>
      <c r="B40" s="1088"/>
      <c r="C40" s="1114"/>
      <c r="D40" s="1114"/>
      <c r="E40" s="1187"/>
      <c r="F40" s="1107"/>
      <c r="G40" s="1188"/>
      <c r="H40" s="1188"/>
      <c r="I40" s="1189"/>
      <c r="J40" s="1188"/>
      <c r="K40" s="1189"/>
      <c r="L40" s="1187"/>
      <c r="M40" s="1118"/>
    </row>
    <row r="41" spans="1:13" ht="12.75">
      <c r="A41" s="1107"/>
      <c r="B41" s="1088"/>
      <c r="C41" s="1114"/>
      <c r="D41" s="1114"/>
      <c r="E41" s="1187"/>
      <c r="F41" s="1107"/>
      <c r="G41" s="1188"/>
      <c r="H41" s="1188"/>
      <c r="I41" s="1189"/>
      <c r="J41" s="1188"/>
      <c r="K41" s="1189"/>
      <c r="L41" s="1187"/>
      <c r="M41" s="1118"/>
    </row>
    <row r="42" spans="1:13" ht="12.75">
      <c r="A42" s="1107"/>
      <c r="B42" s="1088"/>
      <c r="C42" s="1114"/>
      <c r="D42" s="1114"/>
      <c r="E42" s="1187"/>
      <c r="F42" s="1107"/>
      <c r="G42" s="1188"/>
      <c r="H42" s="1188"/>
      <c r="I42" s="1189"/>
      <c r="J42" s="1188"/>
      <c r="K42" s="1189"/>
      <c r="L42" s="1187"/>
      <c r="M42" s="1118"/>
    </row>
    <row r="43" spans="1:13" ht="12.75">
      <c r="A43" s="1107"/>
      <c r="B43" s="1088"/>
      <c r="C43" s="1114"/>
      <c r="D43" s="1114"/>
      <c r="E43" s="1187"/>
      <c r="F43" s="1107"/>
      <c r="G43" s="1188"/>
      <c r="H43" s="1188"/>
      <c r="I43" s="1189"/>
      <c r="J43" s="1188"/>
      <c r="K43" s="1189"/>
      <c r="L43" s="1187"/>
      <c r="M43" s="1118"/>
    </row>
    <row r="44" spans="1:13" ht="12.75">
      <c r="A44" s="1107"/>
      <c r="B44" s="1088"/>
      <c r="C44" s="1114"/>
      <c r="D44" s="1114"/>
      <c r="E44" s="1187"/>
      <c r="F44" s="1107"/>
      <c r="G44" s="1188"/>
      <c r="H44" s="1188"/>
      <c r="I44" s="1189"/>
      <c r="J44" s="1188"/>
      <c r="K44" s="1189"/>
      <c r="L44" s="1187"/>
      <c r="M44" s="1118"/>
    </row>
    <row r="45" spans="1:13" ht="12.75">
      <c r="A45" s="1107"/>
      <c r="B45" s="1088"/>
      <c r="C45" s="1114"/>
      <c r="D45" s="1114"/>
      <c r="E45" s="1187"/>
      <c r="F45" s="1107"/>
      <c r="G45" s="1188"/>
      <c r="H45" s="1188"/>
      <c r="I45" s="1189"/>
      <c r="J45" s="1188"/>
      <c r="K45" s="1189"/>
      <c r="L45" s="1187"/>
      <c r="M45" s="1118"/>
    </row>
    <row r="46" spans="1:13" ht="12.75">
      <c r="A46" s="1107"/>
      <c r="B46" s="1088"/>
      <c r="C46" s="1114"/>
      <c r="D46" s="1114"/>
      <c r="E46" s="1187"/>
      <c r="F46" s="1107"/>
      <c r="G46" s="1188"/>
      <c r="H46" s="1188"/>
      <c r="I46" s="1189"/>
      <c r="J46" s="1188"/>
      <c r="K46" s="1189"/>
      <c r="L46" s="1187"/>
      <c r="M46" s="1118"/>
    </row>
    <row r="47" spans="1:13" ht="12.75">
      <c r="A47" s="1107"/>
      <c r="B47" s="1088"/>
      <c r="C47" s="1114"/>
      <c r="D47" s="1114"/>
      <c r="E47" s="1187"/>
      <c r="F47" s="1107"/>
      <c r="G47" s="1188"/>
      <c r="H47" s="1188"/>
      <c r="I47" s="1189"/>
      <c r="J47" s="1188"/>
      <c r="K47" s="1189"/>
      <c r="L47" s="1187"/>
      <c r="M47" s="1118"/>
    </row>
    <row r="48" spans="1:13" ht="12.75">
      <c r="A48" s="1107"/>
      <c r="B48" s="1088"/>
      <c r="C48" s="1114"/>
      <c r="D48" s="1114"/>
      <c r="E48" s="1187"/>
      <c r="F48" s="1107"/>
      <c r="G48" s="1188"/>
      <c r="H48" s="1188"/>
      <c r="I48" s="1189"/>
      <c r="J48" s="1188"/>
      <c r="K48" s="1189"/>
      <c r="L48" s="1187"/>
      <c r="M48" s="1118"/>
    </row>
    <row r="49" spans="1:13" ht="12.75">
      <c r="A49" s="1107"/>
      <c r="B49" s="1088"/>
      <c r="C49" s="1114"/>
      <c r="D49" s="1114"/>
      <c r="E49" s="1187"/>
      <c r="F49" s="1107"/>
      <c r="G49" s="1188"/>
      <c r="H49" s="1188"/>
      <c r="I49" s="1189"/>
      <c r="J49" s="1188"/>
      <c r="K49" s="1189"/>
      <c r="L49" s="1187"/>
      <c r="M49" s="1118"/>
    </row>
    <row r="50" spans="1:13" ht="12.75">
      <c r="A50" s="1107"/>
      <c r="B50" s="1088"/>
      <c r="C50" s="1114"/>
      <c r="D50" s="1114"/>
      <c r="E50" s="1187"/>
      <c r="F50" s="1107"/>
      <c r="G50" s="1188"/>
      <c r="H50" s="1188"/>
      <c r="I50" s="1189"/>
      <c r="J50" s="1188"/>
      <c r="K50" s="1189"/>
      <c r="L50" s="1191"/>
      <c r="M50" s="1118"/>
    </row>
    <row r="51" spans="1:13" ht="12.75">
      <c r="A51" s="1107"/>
      <c r="B51" s="1088"/>
      <c r="C51" s="1114"/>
      <c r="D51" s="1114"/>
      <c r="E51" s="1192" t="s">
        <v>810</v>
      </c>
      <c r="F51" s="1107"/>
      <c r="G51" s="1193">
        <v>22</v>
      </c>
      <c r="H51" s="1193">
        <v>21.7</v>
      </c>
      <c r="I51" s="1193">
        <v>0.29999999999999793</v>
      </c>
      <c r="J51" s="1193">
        <v>0.5999999999999979</v>
      </c>
      <c r="K51" s="1193">
        <v>-0.3</v>
      </c>
      <c r="L51" s="1107"/>
      <c r="M51" s="1118"/>
    </row>
    <row r="52" spans="1:13" ht="12.75">
      <c r="A52" s="1107"/>
      <c r="B52" s="1088"/>
      <c r="C52" s="1114"/>
      <c r="D52" s="1114"/>
      <c r="E52" s="1114"/>
      <c r="F52" s="1114"/>
      <c r="G52" s="1107"/>
      <c r="H52" s="1107"/>
      <c r="I52" s="1107"/>
      <c r="J52" s="1119" t="s">
        <v>413</v>
      </c>
      <c r="K52" s="1119" t="s">
        <v>413</v>
      </c>
      <c r="L52" s="1107"/>
      <c r="M52" s="1118"/>
    </row>
    <row r="53" spans="1:13" ht="13.5" thickBot="1">
      <c r="A53" s="1107"/>
      <c r="B53" s="1088"/>
      <c r="C53" s="1114"/>
      <c r="D53" s="1114"/>
      <c r="E53" s="1114"/>
      <c r="F53" s="1114"/>
      <c r="G53" s="1107"/>
      <c r="H53" s="1107"/>
      <c r="I53" s="1107"/>
      <c r="J53" s="1107"/>
      <c r="K53" s="1107"/>
      <c r="L53" s="1107"/>
      <c r="M53" s="1118"/>
    </row>
    <row r="54" spans="1:13" ht="13.5" thickBot="1">
      <c r="A54" s="1107"/>
      <c r="B54" s="1088"/>
      <c r="C54" s="1194"/>
      <c r="D54" s="1152" t="s">
        <v>414</v>
      </c>
      <c r="E54" s="1127"/>
      <c r="F54" s="1107"/>
      <c r="G54" s="1116" t="s">
        <v>543</v>
      </c>
      <c r="H54" s="1116" t="s">
        <v>543</v>
      </c>
      <c r="I54" s="1107"/>
      <c r="J54" s="1115"/>
      <c r="K54" s="1115"/>
      <c r="L54" s="1115"/>
      <c r="M54" s="1120"/>
    </row>
    <row r="55" spans="1:13" ht="26.25" thickBot="1">
      <c r="A55" s="1107"/>
      <c r="B55" s="1088"/>
      <c r="C55" s="1114"/>
      <c r="D55" s="1107"/>
      <c r="E55" s="1107"/>
      <c r="F55" s="1107"/>
      <c r="G55" s="1121"/>
      <c r="H55" s="1122" t="s">
        <v>415</v>
      </c>
      <c r="I55" s="1107"/>
      <c r="J55" s="1115"/>
      <c r="K55" s="1115"/>
      <c r="L55" s="1115"/>
      <c r="M55" s="1120"/>
    </row>
    <row r="56" spans="1:13" ht="12.75">
      <c r="A56" s="1107"/>
      <c r="B56" s="1088"/>
      <c r="C56" s="1114"/>
      <c r="D56" s="1107"/>
      <c r="E56" s="1127" t="s">
        <v>416</v>
      </c>
      <c r="F56" s="1107"/>
      <c r="G56" s="1177">
        <v>0.1</v>
      </c>
      <c r="H56" s="1195"/>
      <c r="I56" s="1107"/>
      <c r="J56" s="1115"/>
      <c r="K56" s="1115"/>
      <c r="L56" s="1115"/>
      <c r="M56" s="1120"/>
    </row>
    <row r="57" spans="1:13" ht="13.5" thickBot="1">
      <c r="A57" s="1107"/>
      <c r="B57" s="1088"/>
      <c r="C57" s="1114"/>
      <c r="D57" s="1107"/>
      <c r="E57" s="1127" t="s">
        <v>417</v>
      </c>
      <c r="F57" s="1107"/>
      <c r="G57" s="1177"/>
      <c r="H57" s="1196"/>
      <c r="I57" s="1107"/>
      <c r="J57" s="1115"/>
      <c r="K57" s="1115"/>
      <c r="L57" s="1115"/>
      <c r="M57" s="1120"/>
    </row>
    <row r="58" spans="1:13" ht="13.5" thickBot="1">
      <c r="A58" s="1107"/>
      <c r="B58" s="1088"/>
      <c r="C58" s="1114"/>
      <c r="D58" s="1114"/>
      <c r="E58" s="1178" t="s">
        <v>418</v>
      </c>
      <c r="F58" s="1107"/>
      <c r="G58" s="1197">
        <v>0.1</v>
      </c>
      <c r="H58" s="1115"/>
      <c r="I58" s="1107"/>
      <c r="J58" s="1115"/>
      <c r="K58" s="1115"/>
      <c r="L58" s="1115"/>
      <c r="M58" s="1120"/>
    </row>
    <row r="59" spans="1:13" ht="14.25" thickBot="1" thickTop="1">
      <c r="A59" s="1107"/>
      <c r="B59" s="1088"/>
      <c r="C59" s="1114"/>
      <c r="D59" s="1114"/>
      <c r="E59" s="1178"/>
      <c r="F59" s="1107"/>
      <c r="G59" s="1115"/>
      <c r="H59" s="1115"/>
      <c r="I59" s="1107"/>
      <c r="J59" s="1115"/>
      <c r="K59" s="1115"/>
      <c r="L59" s="1115"/>
      <c r="M59" s="1120"/>
    </row>
    <row r="60" spans="1:13" ht="66" thickBot="1">
      <c r="A60" s="1107"/>
      <c r="B60" s="1088"/>
      <c r="C60" s="1114"/>
      <c r="D60" s="1598" t="s">
        <v>625</v>
      </c>
      <c r="E60" s="1598"/>
      <c r="F60" s="1107"/>
      <c r="G60" s="1123" t="s">
        <v>810</v>
      </c>
      <c r="H60" s="1124" t="s">
        <v>626</v>
      </c>
      <c r="I60" s="1124" t="s">
        <v>627</v>
      </c>
      <c r="J60" s="1124" t="s">
        <v>628</v>
      </c>
      <c r="K60" s="1124" t="s">
        <v>629</v>
      </c>
      <c r="L60" s="1115"/>
      <c r="M60" s="1118"/>
    </row>
    <row r="61" spans="1:13" ht="13.5" thickBot="1">
      <c r="A61" s="1107"/>
      <c r="B61" s="1117"/>
      <c r="C61" s="1109"/>
      <c r="D61" s="1152"/>
      <c r="E61" s="819"/>
      <c r="F61" s="1114"/>
      <c r="G61" s="1116" t="s">
        <v>543</v>
      </c>
      <c r="H61" s="1116" t="s">
        <v>543</v>
      </c>
      <c r="I61" s="1116" t="s">
        <v>543</v>
      </c>
      <c r="J61" s="1116" t="s">
        <v>543</v>
      </c>
      <c r="K61" s="1116" t="s">
        <v>543</v>
      </c>
      <c r="L61" s="1115"/>
      <c r="M61" s="1118"/>
    </row>
    <row r="62" spans="1:13" ht="12.75">
      <c r="A62" s="1107"/>
      <c r="B62" s="1117"/>
      <c r="C62" s="1109"/>
      <c r="D62" s="835"/>
      <c r="E62" s="819" t="s">
        <v>630</v>
      </c>
      <c r="F62" s="1114"/>
      <c r="G62" s="1198"/>
      <c r="H62" s="1199"/>
      <c r="I62" s="1200"/>
      <c r="J62" s="1200"/>
      <c r="K62" s="1201"/>
      <c r="L62" s="1115"/>
      <c r="M62" s="1118"/>
    </row>
    <row r="63" spans="1:13" ht="13.5" thickBot="1">
      <c r="A63" s="1107"/>
      <c r="B63" s="1117"/>
      <c r="C63" s="1109"/>
      <c r="D63" s="835"/>
      <c r="E63" s="819" t="s">
        <v>716</v>
      </c>
      <c r="F63" s="1114"/>
      <c r="G63" s="1202"/>
      <c r="H63" s="1203"/>
      <c r="I63" s="1204"/>
      <c r="J63" s="1204"/>
      <c r="K63" s="1205"/>
      <c r="L63" s="1115"/>
      <c r="M63" s="1118"/>
    </row>
    <row r="64" spans="1:13" ht="13.5" thickBot="1">
      <c r="A64" s="1107"/>
      <c r="B64" s="1117"/>
      <c r="C64" s="1109"/>
      <c r="D64" s="1114"/>
      <c r="E64" s="1114"/>
      <c r="F64" s="1114"/>
      <c r="G64" s="841"/>
      <c r="H64" s="841"/>
      <c r="I64" s="1115"/>
      <c r="J64" s="1115"/>
      <c r="K64" s="1115"/>
      <c r="L64" s="1115"/>
      <c r="M64" s="1118"/>
    </row>
    <row r="65" spans="1:13" ht="80.25" thickBot="1">
      <c r="A65" s="1107"/>
      <c r="B65" s="1088"/>
      <c r="C65" s="1114"/>
      <c r="D65" s="1598" t="s">
        <v>569</v>
      </c>
      <c r="E65" s="1598"/>
      <c r="F65" s="1107"/>
      <c r="G65" s="1125" t="s">
        <v>810</v>
      </c>
      <c r="H65" s="1126" t="s">
        <v>438</v>
      </c>
      <c r="I65" s="1126" t="s">
        <v>760</v>
      </c>
      <c r="J65" s="1126" t="s">
        <v>761</v>
      </c>
      <c r="K65" s="1126" t="s">
        <v>762</v>
      </c>
      <c r="L65" s="1126" t="s">
        <v>763</v>
      </c>
      <c r="M65" s="1118"/>
    </row>
    <row r="66" spans="1:13" ht="13.5" thickBot="1">
      <c r="A66" s="1107"/>
      <c r="B66" s="1088"/>
      <c r="C66" s="1114"/>
      <c r="D66" s="1127"/>
      <c r="E66" s="1107"/>
      <c r="F66" s="1107"/>
      <c r="G66" s="1116" t="s">
        <v>543</v>
      </c>
      <c r="H66" s="1116" t="s">
        <v>543</v>
      </c>
      <c r="I66" s="1116" t="s">
        <v>543</v>
      </c>
      <c r="J66" s="1116" t="s">
        <v>543</v>
      </c>
      <c r="K66" s="1116" t="s">
        <v>543</v>
      </c>
      <c r="L66" s="1116" t="s">
        <v>543</v>
      </c>
      <c r="M66" s="1118"/>
    </row>
    <row r="67" spans="1:13" ht="12.75">
      <c r="A67" s="1107"/>
      <c r="B67" s="1088"/>
      <c r="C67" s="1114"/>
      <c r="D67" s="1127"/>
      <c r="E67" s="1166" t="s">
        <v>764</v>
      </c>
      <c r="F67" s="1107"/>
      <c r="G67" s="836"/>
      <c r="H67" s="839"/>
      <c r="I67" s="1206"/>
      <c r="J67" s="1206"/>
      <c r="K67" s="840"/>
      <c r="L67" s="1207"/>
      <c r="M67" s="1118"/>
    </row>
    <row r="68" spans="1:13" ht="12.75">
      <c r="A68" s="1107"/>
      <c r="B68" s="1088"/>
      <c r="C68" s="1114"/>
      <c r="D68" s="1107"/>
      <c r="E68" s="1127" t="s">
        <v>637</v>
      </c>
      <c r="F68" s="1107"/>
      <c r="G68" s="836"/>
      <c r="H68" s="839"/>
      <c r="I68" s="1206"/>
      <c r="J68" s="1206"/>
      <c r="K68" s="840"/>
      <c r="L68" s="1207"/>
      <c r="M68" s="1118"/>
    </row>
    <row r="69" spans="1:13" ht="12.75">
      <c r="A69" s="1107"/>
      <c r="B69" s="1088"/>
      <c r="C69" s="1114"/>
      <c r="D69" s="1107"/>
      <c r="E69" s="1127" t="s">
        <v>638</v>
      </c>
      <c r="F69" s="1107"/>
      <c r="G69" s="836"/>
      <c r="H69" s="839"/>
      <c r="I69" s="1206"/>
      <c r="J69" s="1206"/>
      <c r="K69" s="840"/>
      <c r="L69" s="1207"/>
      <c r="M69" s="1118"/>
    </row>
    <row r="70" spans="1:13" ht="12.75">
      <c r="A70" s="1107"/>
      <c r="B70" s="1088"/>
      <c r="C70" s="1114"/>
      <c r="D70" s="1107"/>
      <c r="E70" s="1127" t="s">
        <v>639</v>
      </c>
      <c r="F70" s="1107"/>
      <c r="G70" s="836"/>
      <c r="H70" s="1208"/>
      <c r="I70" s="1209"/>
      <c r="J70" s="1209"/>
      <c r="K70" s="1210"/>
      <c r="L70" s="1211"/>
      <c r="M70" s="1118"/>
    </row>
    <row r="71" spans="1:13" ht="13.5" thickBot="1">
      <c r="A71" s="1107"/>
      <c r="B71" s="1088"/>
      <c r="C71" s="1114"/>
      <c r="D71" s="1114"/>
      <c r="E71" s="1178" t="s">
        <v>640</v>
      </c>
      <c r="F71" s="1107"/>
      <c r="G71" s="1212"/>
      <c r="H71" s="1212"/>
      <c r="I71" s="1212"/>
      <c r="J71" s="1212"/>
      <c r="K71" s="1212"/>
      <c r="L71" s="1212"/>
      <c r="M71" s="1118"/>
    </row>
    <row r="72" spans="1:13" ht="13.5" thickBot="1">
      <c r="A72" s="1107"/>
      <c r="B72" s="1128"/>
      <c r="C72" s="1129"/>
      <c r="D72" s="1129"/>
      <c r="E72" s="1213"/>
      <c r="F72" s="1130"/>
      <c r="G72" s="1213"/>
      <c r="H72" s="1214"/>
      <c r="I72" s="1215"/>
      <c r="J72" s="1215"/>
      <c r="K72" s="1215"/>
      <c r="L72" s="1215"/>
      <c r="M72" s="1216"/>
    </row>
    <row r="73" spans="1:13" ht="13.5" thickBot="1">
      <c r="A73" s="1107"/>
      <c r="B73" s="1107"/>
      <c r="C73" s="1130"/>
      <c r="D73" s="1107"/>
      <c r="E73" s="1107"/>
      <c r="F73" s="1107"/>
      <c r="G73" s="1115"/>
      <c r="H73" s="1115"/>
      <c r="I73" s="1115"/>
      <c r="J73" s="1115"/>
      <c r="K73" s="1115"/>
      <c r="L73" s="1115"/>
      <c r="M73" s="1107"/>
    </row>
    <row r="74" spans="1:13" ht="12.75">
      <c r="A74" s="1107"/>
      <c r="B74" s="1151"/>
      <c r="C74" s="1152" t="s">
        <v>641</v>
      </c>
      <c r="D74" s="1153"/>
      <c r="E74" s="1131"/>
      <c r="F74" s="1153"/>
      <c r="G74" s="1416"/>
      <c r="H74" s="1416"/>
      <c r="I74" s="1132"/>
      <c r="J74" s="1132"/>
      <c r="K74" s="1132"/>
      <c r="L74" s="1132"/>
      <c r="M74" s="1133"/>
    </row>
    <row r="75" spans="1:13" ht="13.5" thickBot="1">
      <c r="A75" s="1107"/>
      <c r="B75" s="1156"/>
      <c r="C75" s="1194"/>
      <c r="D75" s="1149"/>
      <c r="E75" s="1134"/>
      <c r="F75" s="1149"/>
      <c r="G75" s="1413"/>
      <c r="H75" s="1413"/>
      <c r="I75" s="1115"/>
      <c r="J75" s="1115"/>
      <c r="K75" s="1115"/>
      <c r="L75" s="1115"/>
      <c r="M75" s="1118"/>
    </row>
    <row r="76" spans="1:13" ht="80.25" thickBot="1">
      <c r="A76" s="1107"/>
      <c r="B76" s="1088"/>
      <c r="C76" s="1114"/>
      <c r="D76" s="1598" t="s">
        <v>624</v>
      </c>
      <c r="E76" s="1598"/>
      <c r="F76" s="1107"/>
      <c r="G76" s="1125" t="s">
        <v>810</v>
      </c>
      <c r="H76" s="1126" t="s">
        <v>438</v>
      </c>
      <c r="I76" s="1126" t="s">
        <v>760</v>
      </c>
      <c r="J76" s="1126" t="s">
        <v>761</v>
      </c>
      <c r="K76" s="1126" t="s">
        <v>762</v>
      </c>
      <c r="L76" s="1126" t="s">
        <v>763</v>
      </c>
      <c r="M76" s="1118"/>
    </row>
    <row r="77" spans="1:13" ht="13.5" thickBot="1">
      <c r="A77" s="1107"/>
      <c r="B77" s="1088"/>
      <c r="C77" s="1114"/>
      <c r="D77" s="1127"/>
      <c r="E77" s="1107"/>
      <c r="F77" s="1107"/>
      <c r="G77" s="1116" t="s">
        <v>543</v>
      </c>
      <c r="H77" s="1116" t="s">
        <v>543</v>
      </c>
      <c r="I77" s="1116" t="s">
        <v>543</v>
      </c>
      <c r="J77" s="1116" t="s">
        <v>543</v>
      </c>
      <c r="K77" s="1116" t="s">
        <v>543</v>
      </c>
      <c r="L77" s="1116" t="s">
        <v>543</v>
      </c>
      <c r="M77" s="1118"/>
    </row>
    <row r="78" spans="1:13" ht="12.75">
      <c r="A78" s="1107"/>
      <c r="B78" s="1088"/>
      <c r="C78" s="1114"/>
      <c r="D78" s="1107"/>
      <c r="E78" s="1127" t="s">
        <v>637</v>
      </c>
      <c r="F78" s="1107"/>
      <c r="G78" s="1217"/>
      <c r="H78" s="1218"/>
      <c r="I78" s="1219"/>
      <c r="J78" s="1219"/>
      <c r="K78" s="1220"/>
      <c r="L78" s="1221"/>
      <c r="M78" s="1118"/>
    </row>
    <row r="79" spans="1:13" ht="12.75">
      <c r="A79" s="1107"/>
      <c r="B79" s="1088"/>
      <c r="C79" s="1114"/>
      <c r="D79" s="1107"/>
      <c r="E79" s="1127" t="s">
        <v>638</v>
      </c>
      <c r="F79" s="1107"/>
      <c r="G79" s="1217"/>
      <c r="H79" s="1218"/>
      <c r="I79" s="1219"/>
      <c r="J79" s="1219"/>
      <c r="K79" s="1220"/>
      <c r="L79" s="1221"/>
      <c r="M79" s="1118"/>
    </row>
    <row r="80" spans="1:13" ht="12.75">
      <c r="A80" s="1107"/>
      <c r="B80" s="1088"/>
      <c r="C80" s="1114"/>
      <c r="D80" s="1107"/>
      <c r="E80" s="1127" t="s">
        <v>639</v>
      </c>
      <c r="F80" s="1107"/>
      <c r="G80" s="1217"/>
      <c r="H80" s="1222"/>
      <c r="I80" s="1223"/>
      <c r="J80" s="1223"/>
      <c r="K80" s="1224"/>
      <c r="L80" s="1225"/>
      <c r="M80" s="1118"/>
    </row>
    <row r="81" spans="1:13" ht="13.5" thickBot="1">
      <c r="A81" s="1107"/>
      <c r="B81" s="1088"/>
      <c r="C81" s="1114"/>
      <c r="D81" s="1114"/>
      <c r="E81" s="1178" t="s">
        <v>810</v>
      </c>
      <c r="F81" s="1107"/>
      <c r="G81" s="1226"/>
      <c r="H81" s="1226"/>
      <c r="I81" s="1226"/>
      <c r="J81" s="1226"/>
      <c r="K81" s="1226"/>
      <c r="L81" s="1226"/>
      <c r="M81" s="1118"/>
    </row>
    <row r="82" spans="1:13" ht="13.5" thickBot="1">
      <c r="A82" s="1107"/>
      <c r="B82" s="1088"/>
      <c r="C82" s="1114"/>
      <c r="D82" s="1114"/>
      <c r="E82" s="1135"/>
      <c r="F82" s="1107"/>
      <c r="G82" s="1136"/>
      <c r="H82" s="1136"/>
      <c r="I82" s="1115"/>
      <c r="J82" s="1115"/>
      <c r="K82" s="1115"/>
      <c r="L82" s="1115"/>
      <c r="M82" s="1118"/>
    </row>
    <row r="83" spans="1:13" ht="13.5" thickBot="1">
      <c r="A83" s="1107"/>
      <c r="B83" s="1088"/>
      <c r="C83" s="1114"/>
      <c r="D83" s="1227" t="s">
        <v>728</v>
      </c>
      <c r="E83" s="1107"/>
      <c r="F83" s="1107"/>
      <c r="G83" s="1228"/>
      <c r="H83" s="1229"/>
      <c r="I83" s="1230"/>
      <c r="J83" s="1229"/>
      <c r="K83" s="1231"/>
      <c r="L83" s="1232"/>
      <c r="M83" s="1118"/>
    </row>
    <row r="84" spans="1:13" ht="13.5" thickBot="1">
      <c r="A84" s="1107"/>
      <c r="B84" s="1128"/>
      <c r="C84" s="1129"/>
      <c r="D84" s="1129"/>
      <c r="E84" s="1233"/>
      <c r="F84" s="1130"/>
      <c r="G84" s="1137"/>
      <c r="H84" s="1138"/>
      <c r="I84" s="1137"/>
      <c r="J84" s="1137"/>
      <c r="K84" s="1137"/>
      <c r="L84" s="1137"/>
      <c r="M84" s="1139"/>
    </row>
    <row r="85" spans="1:13" ht="13.5" thickBot="1">
      <c r="A85" s="1127"/>
      <c r="B85" s="1127"/>
      <c r="C85" s="1121"/>
      <c r="D85" s="1114"/>
      <c r="E85" s="1127"/>
      <c r="F85" s="1107"/>
      <c r="G85" s="1115"/>
      <c r="H85" s="1136"/>
      <c r="I85" s="1115"/>
      <c r="J85" s="1115"/>
      <c r="K85" s="1115"/>
      <c r="L85" s="1115"/>
      <c r="M85" s="1107"/>
    </row>
    <row r="86" spans="1:13" ht="13.5" thickBot="1">
      <c r="A86" s="1107"/>
      <c r="B86" s="1140"/>
      <c r="C86" s="1173" t="s">
        <v>715</v>
      </c>
      <c r="D86" s="1141"/>
      <c r="E86" s="1234"/>
      <c r="F86" s="1142"/>
      <c r="G86" s="1143"/>
      <c r="H86" s="1143"/>
      <c r="I86" s="1144"/>
      <c r="J86" s="1115"/>
      <c r="K86" s="1115"/>
      <c r="L86" s="1115"/>
      <c r="M86" s="1107"/>
    </row>
    <row r="87" spans="1:13" ht="13.5" thickBot="1">
      <c r="A87" s="1107"/>
      <c r="B87" s="1088"/>
      <c r="C87" s="1114"/>
      <c r="D87" s="1114"/>
      <c r="E87" s="1178"/>
      <c r="F87" s="1107"/>
      <c r="G87" s="1116" t="s">
        <v>543</v>
      </c>
      <c r="H87" s="1136"/>
      <c r="I87" s="1120"/>
      <c r="J87" s="1115"/>
      <c r="K87" s="1115"/>
      <c r="L87" s="1115"/>
      <c r="M87" s="1107"/>
    </row>
    <row r="88" spans="1:13" ht="13.5" thickBot="1">
      <c r="A88" s="1107"/>
      <c r="B88" s="1088"/>
      <c r="C88" s="1114"/>
      <c r="D88" s="1152" t="s">
        <v>348</v>
      </c>
      <c r="E88" s="1178"/>
      <c r="F88" s="1107"/>
      <c r="G88" s="1235"/>
      <c r="H88" s="1115"/>
      <c r="I88" s="1120"/>
      <c r="J88" s="1115"/>
      <c r="K88" s="1115"/>
      <c r="L88" s="1115"/>
      <c r="M88" s="1107"/>
    </row>
    <row r="89" spans="1:13" ht="13.5" thickBot="1">
      <c r="A89" s="1107"/>
      <c r="B89" s="1088"/>
      <c r="C89" s="1114"/>
      <c r="D89" s="1152" t="s">
        <v>717</v>
      </c>
      <c r="E89" s="1178"/>
      <c r="F89" s="1107"/>
      <c r="G89" s="1235"/>
      <c r="H89" s="1115"/>
      <c r="I89" s="1120"/>
      <c r="J89" s="1115"/>
      <c r="K89" s="1115"/>
      <c r="L89" s="1115"/>
      <c r="M89" s="1107"/>
    </row>
    <row r="90" spans="1:13" ht="13.5" thickBot="1">
      <c r="A90" s="1107"/>
      <c r="B90" s="1088"/>
      <c r="C90" s="1114"/>
      <c r="D90" s="1114"/>
      <c r="E90" s="1135"/>
      <c r="F90" s="1107"/>
      <c r="G90" s="1115"/>
      <c r="H90" s="1115"/>
      <c r="I90" s="1120"/>
      <c r="J90" s="1115"/>
      <c r="K90" s="1115"/>
      <c r="L90" s="1115"/>
      <c r="M90" s="1107"/>
    </row>
    <row r="91" spans="1:13" ht="13.5" thickBot="1">
      <c r="A91" s="1107"/>
      <c r="B91" s="1088"/>
      <c r="C91" s="1114"/>
      <c r="D91" s="1114"/>
      <c r="E91" s="1227"/>
      <c r="F91" s="1107"/>
      <c r="G91" s="1116" t="s">
        <v>543</v>
      </c>
      <c r="H91" s="1116" t="s">
        <v>718</v>
      </c>
      <c r="I91" s="1145"/>
      <c r="J91" s="1146"/>
      <c r="K91" s="1146"/>
      <c r="L91" s="1115"/>
      <c r="M91" s="1107"/>
    </row>
    <row r="92" spans="1:13" ht="13.5" thickBot="1">
      <c r="A92" s="1107"/>
      <c r="B92" s="1088"/>
      <c r="C92" s="1114"/>
      <c r="D92" s="1152" t="s">
        <v>731</v>
      </c>
      <c r="E92" s="1107"/>
      <c r="F92" s="1107"/>
      <c r="G92" s="1236"/>
      <c r="H92" s="1237"/>
      <c r="I92" s="1238"/>
      <c r="J92" s="1239"/>
      <c r="K92" s="1239"/>
      <c r="L92" s="1115"/>
      <c r="M92" s="1107"/>
    </row>
    <row r="93" spans="1:13" ht="14.25" thickBot="1" thickTop="1">
      <c r="A93" s="1107"/>
      <c r="B93" s="1117"/>
      <c r="C93" s="1107"/>
      <c r="D93" s="1240"/>
      <c r="E93" s="1107"/>
      <c r="F93" s="1107"/>
      <c r="G93" s="1107"/>
      <c r="H93" s="1107"/>
      <c r="I93" s="1238"/>
      <c r="J93" s="1241"/>
      <c r="K93" s="1241"/>
      <c r="L93" s="1115"/>
      <c r="M93" s="1107"/>
    </row>
    <row r="94" spans="1:13" ht="13.5" thickBot="1">
      <c r="A94" s="1107"/>
      <c r="B94" s="1088"/>
      <c r="C94" s="1114"/>
      <c r="D94" s="1152" t="s">
        <v>732</v>
      </c>
      <c r="E94" s="1107"/>
      <c r="F94" s="1107"/>
      <c r="G94" s="1116" t="s">
        <v>543</v>
      </c>
      <c r="H94" s="1116" t="s">
        <v>718</v>
      </c>
      <c r="I94" s="1242"/>
      <c r="J94" s="1241"/>
      <c r="K94" s="1241"/>
      <c r="L94" s="1115"/>
      <c r="M94" s="1107"/>
    </row>
    <row r="95" spans="1:13" ht="12.75">
      <c r="A95" s="1107"/>
      <c r="B95" s="1088"/>
      <c r="C95" s="1114"/>
      <c r="D95" s="1107"/>
      <c r="E95" s="1127" t="s">
        <v>804</v>
      </c>
      <c r="F95" s="1107"/>
      <c r="G95" s="1177"/>
      <c r="H95" s="1177"/>
      <c r="I95" s="1238"/>
      <c r="J95" s="1239"/>
      <c r="K95" s="1239"/>
      <c r="L95" s="1115"/>
      <c r="M95" s="1107"/>
    </row>
    <row r="96" spans="1:13" ht="12.75">
      <c r="A96" s="1107"/>
      <c r="B96" s="1088"/>
      <c r="C96" s="1114"/>
      <c r="D96" s="1107"/>
      <c r="E96" s="1127" t="s">
        <v>803</v>
      </c>
      <c r="F96" s="1107"/>
      <c r="G96" s="1177"/>
      <c r="H96" s="1177"/>
      <c r="I96" s="1238"/>
      <c r="J96" s="1239"/>
      <c r="K96" s="1239"/>
      <c r="L96" s="1115"/>
      <c r="M96" s="1107"/>
    </row>
    <row r="97" spans="1:13" ht="13.5" thickBot="1">
      <c r="A97" s="1107"/>
      <c r="B97" s="1088"/>
      <c r="C97" s="1114"/>
      <c r="D97" s="1107"/>
      <c r="E97" s="1127" t="s">
        <v>733</v>
      </c>
      <c r="F97" s="1107"/>
      <c r="G97" s="1177"/>
      <c r="H97" s="1196"/>
      <c r="I97" s="1238"/>
      <c r="J97" s="1239"/>
      <c r="K97" s="1239"/>
      <c r="L97" s="1115"/>
      <c r="M97" s="1107"/>
    </row>
    <row r="98" spans="1:13" ht="12.75">
      <c r="A98" s="1107"/>
      <c r="B98" s="1088"/>
      <c r="C98" s="1114"/>
      <c r="D98" s="1107"/>
      <c r="E98" s="1127" t="s">
        <v>734</v>
      </c>
      <c r="F98" s="1107"/>
      <c r="G98" s="1243"/>
      <c r="H98" s="1244"/>
      <c r="I98" s="1238"/>
      <c r="J98" s="1239"/>
      <c r="K98" s="1241"/>
      <c r="L98" s="1115"/>
      <c r="M98" s="1107"/>
    </row>
    <row r="99" spans="1:13" ht="13.5" thickBot="1">
      <c r="A99" s="1107"/>
      <c r="B99" s="1088"/>
      <c r="C99" s="1114"/>
      <c r="D99" s="1114"/>
      <c r="E99" s="1167" t="s">
        <v>719</v>
      </c>
      <c r="F99" s="1107"/>
      <c r="G99" s="1197"/>
      <c r="H99" s="1197"/>
      <c r="I99" s="1245"/>
      <c r="J99" s="837"/>
      <c r="K99" s="837"/>
      <c r="L99" s="1115"/>
      <c r="M99" s="1107"/>
    </row>
    <row r="100" spans="1:13" ht="14.25" thickBot="1" thickTop="1">
      <c r="A100" s="1107"/>
      <c r="B100" s="1128"/>
      <c r="C100" s="1129"/>
      <c r="D100" s="1129"/>
      <c r="E100" s="1129"/>
      <c r="F100" s="1129"/>
      <c r="G100" s="1130"/>
      <c r="H100" s="1130"/>
      <c r="I100" s="1139"/>
      <c r="J100" s="1107"/>
      <c r="K100" s="1107"/>
      <c r="L100" s="1107"/>
      <c r="M100" s="1107"/>
    </row>
    <row r="101" spans="1:13" ht="12.75">
      <c r="A101" s="1107"/>
      <c r="B101" s="954"/>
      <c r="C101" s="954"/>
      <c r="D101" s="954"/>
      <c r="E101" s="954"/>
      <c r="F101" s="954"/>
      <c r="G101" s="1107"/>
      <c r="H101" s="1107"/>
      <c r="I101" s="1107"/>
      <c r="J101" s="1107"/>
      <c r="K101" s="1107"/>
      <c r="L101" s="1107"/>
      <c r="M101" s="1107"/>
    </row>
  </sheetData>
  <sheetProtection/>
  <mergeCells count="3">
    <mergeCell ref="D60:E60"/>
    <mergeCell ref="D65:E65"/>
    <mergeCell ref="D76:E76"/>
  </mergeCells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80"/>
  <sheetViews>
    <sheetView zoomScale="80" zoomScaleNormal="80" zoomScalePageLayoutView="0" workbookViewId="0" topLeftCell="A1">
      <selection activeCell="E9" sqref="E9:G76"/>
    </sheetView>
  </sheetViews>
  <sheetFormatPr defaultColWidth="9.140625" defaultRowHeight="12.75"/>
  <cols>
    <col min="1" max="1" width="8.140625" style="1" customWidth="1"/>
    <col min="2" max="2" width="15.421875" style="1" customWidth="1"/>
    <col min="3" max="3" width="48.7109375" style="1" bestFit="1" customWidth="1"/>
    <col min="4" max="4" width="15.421875" style="1" bestFit="1" customWidth="1"/>
    <col min="5" max="16384" width="9.140625" style="1" customWidth="1"/>
  </cols>
  <sheetData>
    <row r="1" spans="1:9" ht="12.75" customHeight="1">
      <c r="A1" s="1270" t="s">
        <v>545</v>
      </c>
      <c r="B1" s="1271"/>
      <c r="C1" s="1271"/>
      <c r="D1" s="1271"/>
      <c r="E1" s="1271"/>
      <c r="F1" s="391" t="s">
        <v>775</v>
      </c>
      <c r="G1" s="1271"/>
      <c r="H1" s="1271"/>
      <c r="I1" s="1271"/>
    </row>
    <row r="2" spans="1:9" s="2" customFormat="1" ht="12.75">
      <c r="A2" s="1272"/>
      <c r="B2" s="1273"/>
      <c r="C2" s="1273"/>
      <c r="D2" s="1273"/>
      <c r="E2" s="1273"/>
      <c r="F2" s="1273"/>
      <c r="G2" s="1273"/>
      <c r="H2" s="1273"/>
      <c r="I2" s="1273"/>
    </row>
    <row r="3" spans="1:9" ht="12.75">
      <c r="A3" s="1270" t="s">
        <v>558</v>
      </c>
      <c r="B3" s="1271"/>
      <c r="C3" s="1271"/>
      <c r="D3" s="1271"/>
      <c r="E3" s="1271"/>
      <c r="F3" s="1271"/>
      <c r="G3" s="1271"/>
      <c r="H3" s="1271"/>
      <c r="I3" s="1271"/>
    </row>
    <row r="4" spans="1:9" ht="12.75">
      <c r="A4" s="1270"/>
      <c r="B4" s="1271"/>
      <c r="C4" s="1271"/>
      <c r="D4" s="1271"/>
      <c r="E4" s="1271"/>
      <c r="F4" s="1271"/>
      <c r="G4" s="1271"/>
      <c r="H4" s="1271"/>
      <c r="I4" s="1271"/>
    </row>
    <row r="5" spans="1:7" ht="20.25">
      <c r="A5" s="1599" t="s">
        <v>559</v>
      </c>
      <c r="B5" s="1599"/>
      <c r="C5" s="1599"/>
      <c r="D5" s="1246"/>
      <c r="E5" s="1247"/>
      <c r="F5" s="1247"/>
      <c r="G5" s="1247"/>
    </row>
    <row r="6" spans="1:7" ht="15" thickBot="1">
      <c r="A6" s="1248"/>
      <c r="B6" s="1248"/>
      <c r="C6" s="679"/>
      <c r="D6" s="679"/>
      <c r="E6" s="1249"/>
      <c r="F6" s="1249"/>
      <c r="G6" s="1249"/>
    </row>
    <row r="7" spans="1:9" ht="15.75" thickBot="1">
      <c r="A7" s="1248"/>
      <c r="B7" s="1248"/>
      <c r="C7" s="1250"/>
      <c r="D7" s="1251" t="s">
        <v>560</v>
      </c>
      <c r="E7" s="1251" t="s">
        <v>561</v>
      </c>
      <c r="F7" s="1251" t="s">
        <v>562</v>
      </c>
      <c r="G7" s="1251" t="s">
        <v>558</v>
      </c>
      <c r="H7" s="1" t="s">
        <v>563</v>
      </c>
      <c r="I7" s="1" t="s">
        <v>564</v>
      </c>
    </row>
    <row r="8" spans="1:8" ht="15">
      <c r="A8" s="1248"/>
      <c r="B8" s="1248"/>
      <c r="C8" s="1252" t="s">
        <v>793</v>
      </c>
      <c r="D8" s="1253"/>
      <c r="E8" s="1600" t="s">
        <v>794</v>
      </c>
      <c r="F8" s="1601"/>
      <c r="G8" s="1254"/>
      <c r="H8" s="1" t="s">
        <v>699</v>
      </c>
    </row>
    <row r="9" spans="1:7" ht="14.25">
      <c r="A9" s="1248"/>
      <c r="B9" s="1248"/>
      <c r="C9" s="1255" t="s">
        <v>700</v>
      </c>
      <c r="D9" s="1256" t="s">
        <v>701</v>
      </c>
      <c r="E9" s="1257"/>
      <c r="F9" s="1258"/>
      <c r="G9" s="1259">
        <v>1.079585</v>
      </c>
    </row>
    <row r="10" spans="1:7" ht="14.25">
      <c r="A10" s="1248"/>
      <c r="B10" s="1248"/>
      <c r="C10" s="1255" t="s">
        <v>702</v>
      </c>
      <c r="D10" s="1256" t="s">
        <v>703</v>
      </c>
      <c r="E10" s="1257"/>
      <c r="F10" s="1258"/>
      <c r="G10" s="1259">
        <v>80.6</v>
      </c>
    </row>
    <row r="11" spans="1:7" ht="14.25">
      <c r="A11" s="1248"/>
      <c r="B11" s="1248"/>
      <c r="C11" s="1255" t="s">
        <v>576</v>
      </c>
      <c r="D11" s="1256" t="s">
        <v>577</v>
      </c>
      <c r="E11" s="1257"/>
      <c r="F11" s="1258"/>
      <c r="G11" s="1259">
        <v>46.3</v>
      </c>
    </row>
    <row r="12" spans="1:7" ht="15.75" thickBot="1">
      <c r="A12" s="1248"/>
      <c r="B12" s="1248"/>
      <c r="C12" s="1255"/>
      <c r="D12" s="1260"/>
      <c r="E12" s="1261"/>
      <c r="F12" s="1262"/>
      <c r="G12" s="1262"/>
    </row>
    <row r="13" spans="1:7" ht="15">
      <c r="A13" s="1248"/>
      <c r="B13" s="1248"/>
      <c r="C13" s="1263" t="s">
        <v>798</v>
      </c>
      <c r="D13" s="1253"/>
      <c r="E13" s="1264"/>
      <c r="F13" s="1249"/>
      <c r="G13" s="1249"/>
    </row>
    <row r="14" spans="1:7" ht="14.25">
      <c r="A14" s="1248"/>
      <c r="B14" s="1248"/>
      <c r="C14" s="1265"/>
      <c r="D14" s="1256"/>
      <c r="E14" s="1264"/>
      <c r="F14" s="1249"/>
      <c r="G14" s="1249"/>
    </row>
    <row r="15" spans="1:7" ht="14.25">
      <c r="A15" s="1248"/>
      <c r="B15" s="1248"/>
      <c r="C15" s="1266" t="s">
        <v>799</v>
      </c>
      <c r="D15" s="1256"/>
      <c r="E15" s="1264"/>
      <c r="F15" s="1249"/>
      <c r="G15" s="1249"/>
    </row>
    <row r="16" spans="1:7" ht="14.25">
      <c r="A16" s="1248"/>
      <c r="B16" s="1248"/>
      <c r="C16" s="1266" t="s">
        <v>800</v>
      </c>
      <c r="D16" s="1256"/>
      <c r="E16" s="1264"/>
      <c r="F16" s="1249"/>
      <c r="G16" s="1249"/>
    </row>
    <row r="17" spans="1:7" ht="14.25">
      <c r="A17" s="1248"/>
      <c r="B17" s="1248"/>
      <c r="C17" s="1265" t="s">
        <v>801</v>
      </c>
      <c r="D17" s="1256" t="s">
        <v>802</v>
      </c>
      <c r="E17" s="1257"/>
      <c r="F17" s="1258"/>
      <c r="G17" s="1259">
        <v>1</v>
      </c>
    </row>
    <row r="18" spans="1:7" ht="14.25">
      <c r="A18" s="1248"/>
      <c r="B18" s="1248"/>
      <c r="C18" s="1265" t="s">
        <v>803</v>
      </c>
      <c r="D18" s="1256" t="s">
        <v>802</v>
      </c>
      <c r="E18" s="1257"/>
      <c r="F18" s="1258"/>
      <c r="G18" s="1259">
        <v>19</v>
      </c>
    </row>
    <row r="19" spans="1:7" ht="14.25">
      <c r="A19" s="1248"/>
      <c r="B19" s="1248"/>
      <c r="C19" s="1265" t="s">
        <v>804</v>
      </c>
      <c r="D19" s="1256" t="s">
        <v>802</v>
      </c>
      <c r="E19" s="1257"/>
      <c r="F19" s="1258"/>
      <c r="G19" s="1259">
        <v>10819</v>
      </c>
    </row>
    <row r="20" spans="1:7" ht="14.25">
      <c r="A20" s="1248"/>
      <c r="B20" s="1248"/>
      <c r="C20" s="1265" t="s">
        <v>805</v>
      </c>
      <c r="D20" s="1256" t="s">
        <v>802</v>
      </c>
      <c r="E20" s="1257"/>
      <c r="F20" s="1258"/>
      <c r="G20" s="1259">
        <v>1</v>
      </c>
    </row>
    <row r="21" spans="1:7" ht="14.25">
      <c r="A21" s="1248"/>
      <c r="B21" s="1248"/>
      <c r="C21" s="1265"/>
      <c r="D21" s="1256"/>
      <c r="E21" s="1264"/>
      <c r="F21" s="1249"/>
      <c r="G21" s="1249"/>
    </row>
    <row r="22" spans="1:7" ht="14.25">
      <c r="A22" s="1248"/>
      <c r="B22" s="1248"/>
      <c r="C22" s="1266" t="s">
        <v>806</v>
      </c>
      <c r="D22" s="1256"/>
      <c r="E22" s="1264"/>
      <c r="F22" s="1249"/>
      <c r="G22" s="1249"/>
    </row>
    <row r="23" spans="1:7" ht="14.25">
      <c r="A23" s="1248"/>
      <c r="B23" s="1248"/>
      <c r="C23" s="1265" t="s">
        <v>807</v>
      </c>
      <c r="D23" s="1256" t="s">
        <v>808</v>
      </c>
      <c r="E23" s="1257"/>
      <c r="F23" s="1258"/>
      <c r="G23" s="1259">
        <v>277.6</v>
      </c>
    </row>
    <row r="24" spans="1:7" ht="14.25">
      <c r="A24" s="1248"/>
      <c r="B24" s="1248"/>
      <c r="C24" s="1265" t="s">
        <v>809</v>
      </c>
      <c r="D24" s="1256" t="s">
        <v>808</v>
      </c>
      <c r="E24" s="1257"/>
      <c r="F24" s="1258"/>
      <c r="G24" s="1259">
        <v>186.7</v>
      </c>
    </row>
    <row r="25" spans="1:7" ht="14.25">
      <c r="A25" s="1248"/>
      <c r="B25" s="1248"/>
      <c r="C25" s="1265" t="s">
        <v>803</v>
      </c>
      <c r="D25" s="1256" t="s">
        <v>808</v>
      </c>
      <c r="E25" s="1257"/>
      <c r="F25" s="1258"/>
      <c r="G25" s="1259">
        <v>93.7</v>
      </c>
    </row>
    <row r="26" spans="1:7" ht="15" thickBot="1">
      <c r="A26" s="1248"/>
      <c r="B26" s="1248"/>
      <c r="C26" s="1265" t="s">
        <v>804</v>
      </c>
      <c r="D26" s="1256" t="s">
        <v>808</v>
      </c>
      <c r="E26" s="1257"/>
      <c r="F26" s="1258"/>
      <c r="G26" s="1259">
        <v>12.3</v>
      </c>
    </row>
    <row r="27" spans="1:7" ht="15" thickBot="1">
      <c r="A27" s="1248"/>
      <c r="B27" s="1248"/>
      <c r="C27" s="1266" t="s">
        <v>810</v>
      </c>
      <c r="D27" s="1256"/>
      <c r="E27" s="1267">
        <v>0</v>
      </c>
      <c r="F27" s="1267">
        <v>0</v>
      </c>
      <c r="G27" s="1267">
        <v>570.3</v>
      </c>
    </row>
    <row r="28" spans="1:7" ht="14.25">
      <c r="A28" s="1248"/>
      <c r="B28" s="1248"/>
      <c r="C28" s="1265"/>
      <c r="D28" s="1256"/>
      <c r="E28" s="95"/>
      <c r="F28" s="95"/>
      <c r="G28" s="95"/>
    </row>
    <row r="29" spans="1:7" ht="14.25">
      <c r="A29" s="1248"/>
      <c r="B29" s="1248"/>
      <c r="C29" s="1266" t="s">
        <v>811</v>
      </c>
      <c r="D29" s="1256"/>
      <c r="E29" s="95"/>
      <c r="F29" s="95"/>
      <c r="G29" s="95"/>
    </row>
    <row r="30" spans="1:7" ht="14.25">
      <c r="A30" s="1248"/>
      <c r="B30" s="1248"/>
      <c r="C30" s="1265" t="s">
        <v>546</v>
      </c>
      <c r="D30" s="1256" t="s">
        <v>808</v>
      </c>
      <c r="E30" s="1257"/>
      <c r="F30" s="1258"/>
      <c r="G30" s="1259">
        <v>2179.2925999999998</v>
      </c>
    </row>
    <row r="31" spans="1:7" ht="14.25">
      <c r="A31" s="1248"/>
      <c r="B31" s="1248"/>
      <c r="C31" s="1265" t="s">
        <v>547</v>
      </c>
      <c r="D31" s="1256" t="s">
        <v>808</v>
      </c>
      <c r="E31" s="1257"/>
      <c r="F31" s="1258"/>
      <c r="G31" s="1259">
        <v>2179.2925999999998</v>
      </c>
    </row>
    <row r="32" spans="1:7" ht="14.25">
      <c r="A32" s="1248"/>
      <c r="B32" s="1248"/>
      <c r="C32" s="1265"/>
      <c r="D32" s="1256"/>
      <c r="E32" s="95"/>
      <c r="F32" s="95"/>
      <c r="G32" s="95"/>
    </row>
    <row r="33" spans="1:7" ht="14.25">
      <c r="A33" s="1248"/>
      <c r="B33" s="1248"/>
      <c r="C33" s="1266" t="s">
        <v>579</v>
      </c>
      <c r="D33" s="1256"/>
      <c r="E33" s="95"/>
      <c r="F33" s="95"/>
      <c r="G33" s="95"/>
    </row>
    <row r="34" spans="1:7" ht="14.25">
      <c r="A34" s="1248"/>
      <c r="B34" s="1248"/>
      <c r="C34" s="1265" t="s">
        <v>801</v>
      </c>
      <c r="D34" s="1256" t="s">
        <v>580</v>
      </c>
      <c r="E34" s="1257"/>
      <c r="F34" s="1258"/>
      <c r="G34" s="1259">
        <v>2954.8379382999997</v>
      </c>
    </row>
    <row r="35" spans="1:7" ht="14.25">
      <c r="A35" s="1248"/>
      <c r="B35" s="1248"/>
      <c r="C35" s="1265" t="s">
        <v>803</v>
      </c>
      <c r="D35" s="1256" t="s">
        <v>580</v>
      </c>
      <c r="E35" s="1257"/>
      <c r="F35" s="1258"/>
      <c r="G35" s="1259">
        <v>2482.1083529999996</v>
      </c>
    </row>
    <row r="36" spans="1:7" ht="15" thickBot="1">
      <c r="A36" s="1248"/>
      <c r="B36" s="1248"/>
      <c r="C36" s="1265" t="s">
        <v>804</v>
      </c>
      <c r="D36" s="1256" t="s">
        <v>580</v>
      </c>
      <c r="E36" s="1257"/>
      <c r="F36" s="1258"/>
      <c r="G36" s="1259">
        <v>7216.204194499999</v>
      </c>
    </row>
    <row r="37" spans="1:7" ht="15" thickBot="1">
      <c r="A37" s="1248"/>
      <c r="B37" s="1248"/>
      <c r="C37" s="1266" t="s">
        <v>810</v>
      </c>
      <c r="D37" s="1256"/>
      <c r="E37" s="1267">
        <v>0</v>
      </c>
      <c r="F37" s="1267">
        <v>0</v>
      </c>
      <c r="G37" s="1267">
        <v>12653.150485799997</v>
      </c>
    </row>
    <row r="38" spans="1:7" ht="14.25">
      <c r="A38" s="1248"/>
      <c r="B38" s="1248"/>
      <c r="C38" s="1265"/>
      <c r="D38" s="1256"/>
      <c r="E38" s="1264"/>
      <c r="F38" s="1249"/>
      <c r="G38" s="1249"/>
    </row>
    <row r="39" spans="1:7" ht="14.25">
      <c r="A39" s="1248"/>
      <c r="B39" s="1248"/>
      <c r="C39" s="1266" t="s">
        <v>581</v>
      </c>
      <c r="D39" s="1256"/>
      <c r="E39" s="1264"/>
      <c r="F39" s="1249"/>
      <c r="G39" s="1249"/>
    </row>
    <row r="40" spans="1:7" ht="14.25">
      <c r="A40" s="1248"/>
      <c r="B40" s="1248"/>
      <c r="C40" s="1265" t="s">
        <v>582</v>
      </c>
      <c r="D40" s="1256" t="s">
        <v>583</v>
      </c>
      <c r="E40" s="1257"/>
      <c r="F40" s="1258"/>
      <c r="G40" s="1259">
        <v>675.2370000000001</v>
      </c>
    </row>
    <row r="41" spans="1:7" ht="14.25">
      <c r="A41" s="1248"/>
      <c r="B41" s="1248"/>
      <c r="C41" s="1265" t="s">
        <v>584</v>
      </c>
      <c r="D41" s="1256" t="s">
        <v>585</v>
      </c>
      <c r="E41" s="1257"/>
      <c r="F41" s="1258"/>
      <c r="G41" s="1268">
        <v>0.05336512837318935</v>
      </c>
    </row>
    <row r="42" spans="1:7" ht="14.25">
      <c r="A42" s="1248"/>
      <c r="B42" s="1248"/>
      <c r="C42" s="1265"/>
      <c r="D42" s="1256"/>
      <c r="E42" s="95"/>
      <c r="F42" s="95"/>
      <c r="G42" s="95"/>
    </row>
    <row r="43" spans="1:7" ht="15.75" thickBot="1">
      <c r="A43" s="1248"/>
      <c r="B43" s="1248"/>
      <c r="C43" s="1255"/>
      <c r="D43" s="1260"/>
      <c r="E43" s="1261"/>
      <c r="F43" s="1262"/>
      <c r="G43" s="1262"/>
    </row>
    <row r="44" spans="1:7" ht="15">
      <c r="A44" s="1248"/>
      <c r="B44" s="1248"/>
      <c r="C44" s="1263" t="s">
        <v>586</v>
      </c>
      <c r="D44" s="1256"/>
      <c r="E44" s="95"/>
      <c r="F44" s="95"/>
      <c r="G44" s="95"/>
    </row>
    <row r="45" spans="1:7" ht="14.25">
      <c r="A45" s="1248"/>
      <c r="B45" s="1248"/>
      <c r="C45" s="1265"/>
      <c r="D45" s="1256"/>
      <c r="E45" s="95"/>
      <c r="F45" s="95"/>
      <c r="G45" s="95"/>
    </row>
    <row r="46" spans="1:7" ht="14.25">
      <c r="A46" s="1248"/>
      <c r="B46" s="1248"/>
      <c r="C46" s="1266" t="s">
        <v>709</v>
      </c>
      <c r="D46" s="1256"/>
      <c r="E46" s="95"/>
      <c r="F46" s="95"/>
      <c r="G46" s="95"/>
    </row>
    <row r="47" spans="1:7" ht="14.25">
      <c r="A47" s="1248"/>
      <c r="B47" s="1248"/>
      <c r="C47" s="1265" t="s">
        <v>807</v>
      </c>
      <c r="D47" s="1256" t="s">
        <v>710</v>
      </c>
      <c r="E47" s="1257"/>
      <c r="F47" s="1258"/>
      <c r="G47" s="1269">
        <v>1180</v>
      </c>
    </row>
    <row r="48" spans="1:7" ht="14.25">
      <c r="A48" s="1248"/>
      <c r="B48" s="1248"/>
      <c r="C48" s="1265" t="s">
        <v>809</v>
      </c>
      <c r="D48" s="1256" t="s">
        <v>710</v>
      </c>
      <c r="E48" s="1257"/>
      <c r="F48" s="1258"/>
      <c r="G48" s="1269">
        <v>1584</v>
      </c>
    </row>
    <row r="49" spans="1:7" ht="14.25">
      <c r="A49" s="1248"/>
      <c r="B49" s="1248"/>
      <c r="C49" s="1265" t="s">
        <v>803</v>
      </c>
      <c r="D49" s="1256" t="s">
        <v>710</v>
      </c>
      <c r="E49" s="1257"/>
      <c r="F49" s="1258"/>
      <c r="G49" s="1269">
        <v>12207</v>
      </c>
    </row>
    <row r="50" spans="1:7" ht="15" thickBot="1">
      <c r="A50" s="1248"/>
      <c r="B50" s="1248"/>
      <c r="C50" s="1265" t="s">
        <v>804</v>
      </c>
      <c r="D50" s="1256" t="s">
        <v>710</v>
      </c>
      <c r="E50" s="1257"/>
      <c r="F50" s="1258"/>
      <c r="G50" s="1269">
        <v>3193</v>
      </c>
    </row>
    <row r="51" spans="1:7" ht="15" thickBot="1">
      <c r="A51" s="1248"/>
      <c r="B51" s="1248"/>
      <c r="C51" s="1266" t="s">
        <v>810</v>
      </c>
      <c r="D51" s="1256" t="s">
        <v>710</v>
      </c>
      <c r="E51" s="1267">
        <v>0</v>
      </c>
      <c r="F51" s="1267">
        <v>0</v>
      </c>
      <c r="G51" s="1267">
        <v>18164</v>
      </c>
    </row>
    <row r="52" spans="1:7" ht="14.25">
      <c r="A52" s="1248"/>
      <c r="B52" s="1248"/>
      <c r="C52" s="1265"/>
      <c r="D52" s="1256"/>
      <c r="E52" s="95"/>
      <c r="F52" s="95"/>
      <c r="G52" s="95"/>
    </row>
    <row r="53" spans="1:7" ht="14.25">
      <c r="A53" s="1248"/>
      <c r="B53" s="1248"/>
      <c r="C53" s="1266" t="s">
        <v>711</v>
      </c>
      <c r="D53" s="1256"/>
      <c r="E53" s="95"/>
      <c r="F53" s="95"/>
      <c r="G53" s="95"/>
    </row>
    <row r="54" spans="1:7" ht="14.25">
      <c r="A54" s="1248"/>
      <c r="B54" s="1248"/>
      <c r="C54" s="1265" t="s">
        <v>807</v>
      </c>
      <c r="D54" s="1256" t="s">
        <v>710</v>
      </c>
      <c r="E54" s="1257"/>
      <c r="F54" s="1258"/>
      <c r="G54" s="1269">
        <v>93.4</v>
      </c>
    </row>
    <row r="55" spans="1:7" ht="14.25">
      <c r="A55" s="1248"/>
      <c r="B55" s="1248"/>
      <c r="C55" s="1265" t="s">
        <v>809</v>
      </c>
      <c r="D55" s="1256" t="s">
        <v>710</v>
      </c>
      <c r="E55" s="1257"/>
      <c r="F55" s="1258"/>
      <c r="G55" s="1269">
        <v>397.264</v>
      </c>
    </row>
    <row r="56" spans="1:7" ht="14.25">
      <c r="A56" s="1248"/>
      <c r="B56" s="1248"/>
      <c r="C56" s="1265" t="s">
        <v>803</v>
      </c>
      <c r="D56" s="1256" t="s">
        <v>710</v>
      </c>
      <c r="E56" s="1257"/>
      <c r="F56" s="1258"/>
      <c r="G56" s="1269">
        <v>5366.7</v>
      </c>
    </row>
    <row r="57" spans="1:7" ht="15" thickBot="1">
      <c r="A57" s="1248"/>
      <c r="B57" s="1248"/>
      <c r="C57" s="1265" t="s">
        <v>804</v>
      </c>
      <c r="D57" s="1256" t="s">
        <v>710</v>
      </c>
      <c r="E57" s="1257"/>
      <c r="F57" s="1258"/>
      <c r="G57" s="1269">
        <v>10735.59</v>
      </c>
    </row>
    <row r="58" spans="1:7" ht="15" thickBot="1">
      <c r="A58" s="1248"/>
      <c r="B58" s="1248"/>
      <c r="C58" s="1265" t="s">
        <v>810</v>
      </c>
      <c r="D58" s="1256" t="s">
        <v>710</v>
      </c>
      <c r="E58" s="1267">
        <v>0</v>
      </c>
      <c r="F58" s="1267">
        <v>0</v>
      </c>
      <c r="G58" s="1267">
        <v>16592.953999999998</v>
      </c>
    </row>
    <row r="59" spans="1:7" ht="14.25">
      <c r="A59" s="1248"/>
      <c r="B59" s="1248"/>
      <c r="C59" s="1265"/>
      <c r="D59" s="1256"/>
      <c r="E59" s="95"/>
      <c r="F59" s="95"/>
      <c r="G59" s="95"/>
    </row>
    <row r="60" spans="1:7" ht="14.25">
      <c r="A60" s="1248"/>
      <c r="B60" s="1248"/>
      <c r="C60" s="1266" t="s">
        <v>712</v>
      </c>
      <c r="D60" s="1256"/>
      <c r="E60" s="95"/>
      <c r="F60" s="95"/>
      <c r="G60" s="95"/>
    </row>
    <row r="61" spans="1:7" ht="14.25">
      <c r="A61" s="1248"/>
      <c r="B61" s="1248"/>
      <c r="C61" s="1265" t="s">
        <v>807</v>
      </c>
      <c r="D61" s="1256" t="s">
        <v>710</v>
      </c>
      <c r="E61" s="1269">
        <v>0</v>
      </c>
      <c r="F61" s="1269">
        <v>0</v>
      </c>
      <c r="G61" s="1269">
        <v>1273.4</v>
      </c>
    </row>
    <row r="62" spans="1:7" ht="14.25">
      <c r="A62" s="1248"/>
      <c r="B62" s="1248"/>
      <c r="C62" s="1265" t="s">
        <v>809</v>
      </c>
      <c r="D62" s="1256" t="s">
        <v>710</v>
      </c>
      <c r="E62" s="1269">
        <v>0</v>
      </c>
      <c r="F62" s="1269">
        <v>0</v>
      </c>
      <c r="G62" s="1269">
        <v>1981.2640000000001</v>
      </c>
    </row>
    <row r="63" spans="1:7" ht="14.25">
      <c r="A63" s="1248"/>
      <c r="B63" s="1248"/>
      <c r="C63" s="1265" t="s">
        <v>803</v>
      </c>
      <c r="D63" s="1256" t="s">
        <v>710</v>
      </c>
      <c r="E63" s="1269">
        <v>0</v>
      </c>
      <c r="F63" s="1269">
        <v>0</v>
      </c>
      <c r="G63" s="1269">
        <v>17573.7</v>
      </c>
    </row>
    <row r="64" spans="1:7" ht="15" thickBot="1">
      <c r="A64" s="1248"/>
      <c r="B64" s="1248"/>
      <c r="C64" s="1265" t="s">
        <v>804</v>
      </c>
      <c r="D64" s="1256" t="s">
        <v>710</v>
      </c>
      <c r="E64" s="1269">
        <v>0</v>
      </c>
      <c r="F64" s="1269">
        <v>0</v>
      </c>
      <c r="G64" s="1269">
        <v>13928.59</v>
      </c>
    </row>
    <row r="65" spans="1:7" ht="15" thickBot="1">
      <c r="A65" s="1248"/>
      <c r="B65" s="1248"/>
      <c r="C65" s="1266" t="s">
        <v>810</v>
      </c>
      <c r="D65" s="1256" t="s">
        <v>710</v>
      </c>
      <c r="E65" s="1267">
        <v>0</v>
      </c>
      <c r="F65" s="1267">
        <v>0</v>
      </c>
      <c r="G65" s="1267">
        <v>34756.954</v>
      </c>
    </row>
    <row r="66" spans="1:7" ht="14.25">
      <c r="A66" s="1248"/>
      <c r="B66" s="1248"/>
      <c r="C66" s="1265"/>
      <c r="D66" s="1256"/>
      <c r="E66" s="95"/>
      <c r="F66" s="95"/>
      <c r="G66" s="95"/>
    </row>
    <row r="67" spans="1:7" ht="14.25">
      <c r="A67" s="1248"/>
      <c r="B67" s="1248"/>
      <c r="C67" s="1266" t="s">
        <v>713</v>
      </c>
      <c r="D67" s="1256"/>
      <c r="E67" s="95"/>
      <c r="F67" s="95"/>
      <c r="G67" s="95"/>
    </row>
    <row r="68" spans="1:7" ht="14.25">
      <c r="A68" s="1248"/>
      <c r="B68" s="1248"/>
      <c r="C68" s="1265" t="s">
        <v>807</v>
      </c>
      <c r="D68" s="1256" t="s">
        <v>714</v>
      </c>
      <c r="E68" s="1257"/>
      <c r="F68" s="1258"/>
      <c r="G68" s="1259">
        <v>77</v>
      </c>
    </row>
    <row r="69" spans="1:7" ht="14.25">
      <c r="A69" s="1248"/>
      <c r="B69" s="1248"/>
      <c r="C69" s="1265" t="s">
        <v>617</v>
      </c>
      <c r="D69" s="1256" t="s">
        <v>714</v>
      </c>
      <c r="E69" s="1257"/>
      <c r="F69" s="1258"/>
      <c r="G69" s="1259">
        <v>196</v>
      </c>
    </row>
    <row r="70" spans="1:7" ht="14.25">
      <c r="A70" s="1248"/>
      <c r="B70" s="1248"/>
      <c r="C70" s="1265" t="s">
        <v>618</v>
      </c>
      <c r="D70" s="1256" t="s">
        <v>714</v>
      </c>
      <c r="E70" s="1257"/>
      <c r="F70" s="1258"/>
      <c r="G70" s="1259">
        <v>0</v>
      </c>
    </row>
    <row r="71" spans="1:7" ht="14.25">
      <c r="A71" s="1248"/>
      <c r="B71" s="1248"/>
      <c r="C71" s="1265" t="s">
        <v>619</v>
      </c>
      <c r="D71" s="1256" t="s">
        <v>714</v>
      </c>
      <c r="E71" s="1257"/>
      <c r="F71" s="1258"/>
      <c r="G71" s="1259">
        <v>8329</v>
      </c>
    </row>
    <row r="72" spans="1:7" ht="15" thickBot="1">
      <c r="A72" s="1248"/>
      <c r="B72" s="1248"/>
      <c r="C72" s="1265" t="s">
        <v>620</v>
      </c>
      <c r="D72" s="1256" t="s">
        <v>714</v>
      </c>
      <c r="E72" s="1257"/>
      <c r="F72" s="1258"/>
      <c r="G72" s="1259">
        <v>31138</v>
      </c>
    </row>
    <row r="73" spans="1:7" ht="15" thickBot="1">
      <c r="A73" s="1248"/>
      <c r="B73" s="1248"/>
      <c r="C73" s="1266" t="s">
        <v>810</v>
      </c>
      <c r="D73" s="1256" t="s">
        <v>714</v>
      </c>
      <c r="E73" s="1267">
        <v>0</v>
      </c>
      <c r="F73" s="1267">
        <v>0</v>
      </c>
      <c r="G73" s="1267">
        <v>39740</v>
      </c>
    </row>
    <row r="74" spans="1:7" ht="15.75" thickBot="1">
      <c r="A74" s="1248"/>
      <c r="B74" s="1248"/>
      <c r="C74" s="1261"/>
      <c r="D74" s="1260"/>
      <c r="E74" s="1261"/>
      <c r="F74" s="1262"/>
      <c r="G74" s="1262"/>
    </row>
    <row r="75" spans="1:7" ht="14.25">
      <c r="A75" s="679"/>
      <c r="B75" s="679"/>
      <c r="C75" s="679"/>
      <c r="D75" s="679"/>
      <c r="E75" s="679"/>
      <c r="F75" s="679"/>
      <c r="G75" s="679"/>
    </row>
    <row r="76" spans="1:7" ht="14.25">
      <c r="A76" s="1248"/>
      <c r="B76" s="1248"/>
      <c r="C76" s="679"/>
      <c r="D76" s="679"/>
      <c r="E76" s="679"/>
      <c r="F76" s="679"/>
      <c r="G76" s="679"/>
    </row>
    <row r="77" spans="1:7" ht="14.25">
      <c r="A77" s="1248"/>
      <c r="B77" s="1248"/>
      <c r="C77" s="679"/>
      <c r="D77" s="679"/>
      <c r="E77" s="679"/>
      <c r="F77" s="679"/>
      <c r="G77" s="679"/>
    </row>
    <row r="78" spans="1:7" ht="14.25">
      <c r="A78" s="1248"/>
      <c r="B78" s="1248"/>
      <c r="C78" s="679"/>
      <c r="D78" s="679"/>
      <c r="E78" s="679"/>
      <c r="F78" s="679"/>
      <c r="G78" s="679"/>
    </row>
    <row r="79" spans="1:7" ht="14.25">
      <c r="A79" s="1248"/>
      <c r="B79" s="1248"/>
      <c r="C79" s="679"/>
      <c r="D79" s="679"/>
      <c r="E79" s="679"/>
      <c r="F79" s="679"/>
      <c r="G79" s="679"/>
    </row>
    <row r="80" spans="1:7" ht="14.25">
      <c r="A80" s="1248"/>
      <c r="B80" s="1248"/>
      <c r="C80" s="679"/>
      <c r="D80" s="679"/>
      <c r="E80" s="679"/>
      <c r="F80" s="679"/>
      <c r="G80" s="679"/>
    </row>
  </sheetData>
  <sheetProtection/>
  <mergeCells count="2">
    <mergeCell ref="A5:C5"/>
    <mergeCell ref="E8:F8"/>
  </mergeCells>
  <hyperlinks>
    <hyperlink ref="F1" location="Inputs!A1" display="Index"/>
  </hyperlinks>
  <printOptions/>
  <pageMargins left="0.53" right="0.52" top="0.59" bottom="0.41" header="0.23" footer="0.19"/>
  <pageSetup orientation="landscape" paperSize="9" r:id="rId2"/>
  <headerFooter alignWithMargins="0">
    <oddHeader>&amp;C&amp;"Verdana,Regular"&amp;16&amp;F&amp;R&amp;G</oddHeader>
    <oddFooter>&amp;L&amp;D&amp;R&amp;6&amp;N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B10" sqref="B10"/>
    </sheetView>
  </sheetViews>
  <sheetFormatPr defaultColWidth="8.8515625" defaultRowHeight="12.75"/>
  <cols>
    <col min="1" max="2" width="44.00390625" style="0" customWidth="1"/>
    <col min="3" max="3" width="19.421875" style="0" customWidth="1"/>
    <col min="4" max="4" width="14.421875" style="0" customWidth="1"/>
    <col min="5" max="5" width="12.421875" style="0" customWidth="1"/>
    <col min="6" max="6" width="14.28125" style="0" customWidth="1"/>
    <col min="7" max="7" width="13.421875" style="0" customWidth="1"/>
    <col min="8" max="8" width="8.8515625" style="0" customWidth="1"/>
    <col min="9" max="9" width="9.140625" style="0" customWidth="1"/>
  </cols>
  <sheetData>
    <row r="1" spans="1:8" s="3" customFormat="1" ht="12.75">
      <c r="A1" s="10" t="s">
        <v>152</v>
      </c>
      <c r="B1" s="10"/>
      <c r="H1" s="390" t="s">
        <v>775</v>
      </c>
    </row>
    <row r="3" spans="1:7" ht="12.75" customHeight="1">
      <c r="A3" s="295" t="s">
        <v>192</v>
      </c>
      <c r="B3" s="1418"/>
      <c r="C3" s="1420" t="s">
        <v>22</v>
      </c>
      <c r="D3" s="1420"/>
      <c r="E3" s="1420"/>
      <c r="F3" s="1420"/>
      <c r="G3" s="1421"/>
    </row>
    <row r="4" spans="1:7" ht="12.75">
      <c r="A4" s="301"/>
      <c r="B4" s="296" t="s">
        <v>850</v>
      </c>
      <c r="C4" s="296" t="s">
        <v>308</v>
      </c>
      <c r="D4" s="300" t="s">
        <v>62</v>
      </c>
      <c r="E4" s="296" t="s">
        <v>803</v>
      </c>
      <c r="F4" s="296" t="s">
        <v>809</v>
      </c>
      <c r="G4" s="306" t="s">
        <v>153</v>
      </c>
    </row>
    <row r="5" spans="1:7" ht="12.75">
      <c r="A5" s="302" t="s">
        <v>202</v>
      </c>
      <c r="B5" s="341">
        <f>'WPD - Final Allocation'!K47</f>
        <v>0.15373400116701816</v>
      </c>
      <c r="C5" s="341">
        <f>'WPD - Final Allocation'!J47</f>
        <v>0.26055682577068884</v>
      </c>
      <c r="D5" s="342">
        <f>'WPD - Final Allocation'!I47</f>
        <v>0.08350263340552729</v>
      </c>
      <c r="E5" s="342">
        <f>'WPD - Final Allocation'!H47</f>
        <v>0.28905190907172873</v>
      </c>
      <c r="F5" s="342">
        <f>'WPD - Final Allocation'!F47</f>
        <v>0.213154630585037</v>
      </c>
      <c r="G5" s="343" t="s">
        <v>196</v>
      </c>
    </row>
    <row r="6" spans="1:7" ht="12.75">
      <c r="A6" s="302" t="s">
        <v>154</v>
      </c>
      <c r="B6" s="344">
        <f>'WPD - Final Allocation'!K45</f>
        <v>0.07623077482259967</v>
      </c>
      <c r="C6" s="344">
        <f>'WPD - Final Allocation'!J46</f>
        <v>0.10935856975767738</v>
      </c>
      <c r="D6" s="345">
        <f>'WPD - Final Allocation'!I46</f>
        <v>0.08683873351524637</v>
      </c>
      <c r="E6" s="345">
        <f>'WPD - Final Allocation'!H46</f>
        <v>0.3503423712551686</v>
      </c>
      <c r="F6" s="345">
        <f>'WPD - Final Allocation'!F46</f>
        <v>0.37722955064930797</v>
      </c>
      <c r="G6" s="346" t="s">
        <v>196</v>
      </c>
    </row>
    <row r="7" spans="1:7" ht="12.75">
      <c r="A7" s="303" t="s">
        <v>21</v>
      </c>
      <c r="B7" s="344">
        <f>'WPD - Final Allocation'!K46</f>
        <v>0.07623077482259967</v>
      </c>
      <c r="C7" s="347">
        <f>'WPD - Final Allocation'!J45</f>
        <v>0.10935856975767738</v>
      </c>
      <c r="D7" s="348">
        <f>'WPD - Final Allocation'!I45</f>
        <v>0.08683873351524637</v>
      </c>
      <c r="E7" s="348">
        <f>'WPD - Final Allocation'!H45</f>
        <v>0.3503423712551686</v>
      </c>
      <c r="F7" s="348">
        <f>'WPD - Final Allocation'!F45</f>
        <v>0.37722955064930797</v>
      </c>
      <c r="G7" s="349" t="s">
        <v>196</v>
      </c>
    </row>
    <row r="8" spans="1:7" ht="12.75">
      <c r="A8" s="304" t="s">
        <v>150</v>
      </c>
      <c r="B8" s="350">
        <f>'WPD - Final Allocation'!P50</f>
        <v>0.1032531986757575</v>
      </c>
      <c r="C8" s="350">
        <f>'WPD - Final Allocation'!O50</f>
        <v>0.16207564429190555</v>
      </c>
      <c r="D8" s="351">
        <f>'WPD - Final Allocation'!N50</f>
        <v>0.08567556243923494</v>
      </c>
      <c r="E8" s="351">
        <f>'WPD - Final Allocation'!M50</f>
        <v>0.32897272091420404</v>
      </c>
      <c r="F8" s="351">
        <f>'WPD - Final Allocation'!L50</f>
        <v>0.32002287367889787</v>
      </c>
      <c r="G8" s="352" t="s">
        <v>196</v>
      </c>
    </row>
    <row r="9" spans="1:7" ht="38.25">
      <c r="A9" s="305" t="s">
        <v>106</v>
      </c>
      <c r="B9" s="340">
        <f>'WPD - Final Allocation'!T82</f>
        <v>0.1279198789196522</v>
      </c>
      <c r="C9" s="340">
        <f>'WPD - Final Allocation'!P82</f>
        <v>0.2007947168663642</v>
      </c>
      <c r="D9" s="353">
        <f>'WPD - Final Allocation'!O82</f>
        <v>0.10614303202379347</v>
      </c>
      <c r="E9" s="353">
        <f>'WPD - Final Allocation'!N82</f>
        <v>0.3059323291686015</v>
      </c>
      <c r="F9" s="353">
        <f>'WPD - Final Allocation'!M82</f>
        <v>0.23041962728090132</v>
      </c>
      <c r="G9" s="354">
        <f>'WPD - Final Allocation'!Q82</f>
        <v>0.028790415740687234</v>
      </c>
    </row>
    <row r="10" spans="1:7" ht="12.75">
      <c r="A10" s="305" t="s">
        <v>147</v>
      </c>
      <c r="B10" s="376">
        <f>'Calc - WPD Opex Allocation'!AC48</f>
        <v>0.5022120216590915</v>
      </c>
      <c r="C10" s="376">
        <f>'Calc - WPD Opex Allocation'!AB48</f>
        <v>0.5022120216590915</v>
      </c>
      <c r="D10" s="377">
        <f>'Calc - WPD Opex Allocation'!AA48</f>
        <v>0.7475619667132161</v>
      </c>
      <c r="E10" s="377">
        <f>'Calc - WPD Opex Allocation'!Z48</f>
        <v>0.738622468806474</v>
      </c>
      <c r="F10" s="377">
        <f>'Calc - WPD Opex Allocation'!Y48</f>
        <v>0.7193747826427379</v>
      </c>
      <c r="G10" s="378" t="s">
        <v>196</v>
      </c>
    </row>
    <row r="12" ht="12" customHeight="1"/>
    <row r="22" ht="12" customHeight="1"/>
    <row r="31" ht="12" customHeight="1"/>
    <row r="40" ht="12" customHeight="1"/>
  </sheetData>
  <sheetProtection/>
  <mergeCells count="1">
    <mergeCell ref="C3:G3"/>
  </mergeCells>
  <hyperlinks>
    <hyperlink ref="H1" location="Inputs!A1" display="Index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84"/>
  <sheetViews>
    <sheetView zoomScalePageLayoutView="0" workbookViewId="0" topLeftCell="E43">
      <selection activeCell="S67" sqref="S67"/>
    </sheetView>
  </sheetViews>
  <sheetFormatPr defaultColWidth="8.8515625" defaultRowHeight="12.75"/>
  <cols>
    <col min="1" max="4" width="8.8515625" style="0" customWidth="1"/>
    <col min="5" max="5" width="18.7109375" style="0" customWidth="1"/>
    <col min="6" max="9" width="8.8515625" style="0" customWidth="1"/>
    <col min="10" max="10" width="12.00390625" style="0" customWidth="1"/>
    <col min="11" max="12" width="8.8515625" style="0" customWidth="1"/>
    <col min="13" max="16" width="12.8515625" style="0" customWidth="1"/>
    <col min="17" max="17" width="9.28125" style="0" bestFit="1" customWidth="1"/>
    <col min="18" max="18" width="8.8515625" style="0" customWidth="1"/>
    <col min="19" max="19" width="9.28125" style="0" bestFit="1" customWidth="1"/>
    <col min="20" max="20" width="10.421875" style="0" bestFit="1" customWidth="1"/>
    <col min="21" max="41" width="8.8515625" style="0" customWidth="1"/>
    <col min="42" max="45" width="10.28125" style="0" bestFit="1" customWidth="1"/>
    <col min="46" max="46" width="9.421875" style="0" bestFit="1" customWidth="1"/>
  </cols>
  <sheetData>
    <row r="1" s="359" customFormat="1" ht="12.75">
      <c r="A1" s="359" t="s">
        <v>345</v>
      </c>
    </row>
    <row r="2" ht="12.75">
      <c r="B2" s="390" t="s">
        <v>775</v>
      </c>
    </row>
    <row r="3" spans="1:50" ht="12.7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204"/>
      <c r="Q3" s="204"/>
      <c r="R3" s="204"/>
      <c r="S3" s="204"/>
      <c r="T3" s="204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</row>
    <row r="4" spans="1:30" ht="12.75">
      <c r="A4" s="95"/>
      <c r="B4" s="95"/>
      <c r="C4" s="212" t="s">
        <v>157</v>
      </c>
      <c r="D4" s="212"/>
      <c r="E4" s="212"/>
      <c r="F4" s="212"/>
      <c r="G4" s="212"/>
      <c r="H4" s="212"/>
      <c r="I4" s="212"/>
      <c r="J4" s="212"/>
      <c r="K4" s="212"/>
      <c r="L4" s="212"/>
      <c r="M4" s="212" t="s">
        <v>158</v>
      </c>
      <c r="N4" s="212"/>
      <c r="O4" s="212"/>
      <c r="P4" s="212"/>
      <c r="Q4" s="212"/>
      <c r="R4" s="212"/>
      <c r="S4" s="212"/>
      <c r="T4" s="212"/>
      <c r="U4" s="212"/>
      <c r="V4" s="95"/>
      <c r="W4" s="95"/>
      <c r="X4" s="95"/>
      <c r="Y4" s="95"/>
      <c r="Z4" s="95"/>
      <c r="AA4" s="95"/>
      <c r="AB4" s="95"/>
      <c r="AC4" s="95"/>
      <c r="AD4" s="95"/>
    </row>
    <row r="5" spans="1:30" ht="12.75">
      <c r="A5" s="95"/>
      <c r="B5" s="95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95"/>
      <c r="W5" s="95"/>
      <c r="X5" s="95"/>
      <c r="Y5" s="95"/>
      <c r="Z5" s="95"/>
      <c r="AA5" s="95"/>
      <c r="AB5" s="95"/>
      <c r="AC5" s="95"/>
      <c r="AD5" s="95"/>
    </row>
    <row r="6" spans="1:30" ht="12.75">
      <c r="A6" s="95"/>
      <c r="B6" s="95"/>
      <c r="C6" s="212"/>
      <c r="D6" s="212"/>
      <c r="E6" s="212" t="s">
        <v>561</v>
      </c>
      <c r="F6" s="212" t="s">
        <v>562</v>
      </c>
      <c r="G6" s="212"/>
      <c r="H6" s="212" t="s">
        <v>558</v>
      </c>
      <c r="I6" s="212" t="s">
        <v>563</v>
      </c>
      <c r="J6" s="212" t="s">
        <v>564</v>
      </c>
      <c r="K6" s="212"/>
      <c r="L6" s="212"/>
      <c r="M6" s="212"/>
      <c r="N6" s="212"/>
      <c r="O6" s="212"/>
      <c r="P6" s="212" t="s">
        <v>561</v>
      </c>
      <c r="Q6" s="212" t="s">
        <v>562</v>
      </c>
      <c r="R6" s="212" t="s">
        <v>558</v>
      </c>
      <c r="S6" s="212" t="s">
        <v>563</v>
      </c>
      <c r="T6" s="212" t="s">
        <v>564</v>
      </c>
      <c r="U6" s="212"/>
      <c r="V6" s="95"/>
      <c r="W6" s="95"/>
      <c r="X6" s="95"/>
      <c r="Y6" s="95"/>
      <c r="Z6" s="95"/>
      <c r="AA6" s="95"/>
      <c r="AB6" s="95"/>
      <c r="AC6" s="95"/>
      <c r="AD6" s="95"/>
    </row>
    <row r="7" spans="1:30" ht="12.75">
      <c r="A7" s="95"/>
      <c r="B7" s="95"/>
      <c r="C7" s="212"/>
      <c r="D7" s="212"/>
      <c r="E7" s="215"/>
      <c r="F7" s="215"/>
      <c r="G7" s="215"/>
      <c r="H7" s="215"/>
      <c r="I7" s="215"/>
      <c r="J7" s="215"/>
      <c r="K7" s="215"/>
      <c r="L7" s="212"/>
      <c r="M7" s="212" t="s">
        <v>283</v>
      </c>
      <c r="N7" s="212"/>
      <c r="O7" s="212"/>
      <c r="P7" s="1274">
        <f>'Allowed revenue -DPCR4'!D3</f>
        <v>573.6</v>
      </c>
      <c r="Q7" s="1274">
        <f>'Allowed revenue -DPCR4'!E3</f>
        <v>577.8</v>
      </c>
      <c r="R7" s="1274">
        <f>'Allowed revenue -DPCR4'!F3</f>
        <v>579.3</v>
      </c>
      <c r="S7" s="1274">
        <f>'Allowed revenue -DPCR4'!G3</f>
        <v>578.4</v>
      </c>
      <c r="T7" s="1274">
        <f>'Allowed revenue -DPCR4'!H3</f>
        <v>575</v>
      </c>
      <c r="U7" s="212"/>
      <c r="V7" s="95"/>
      <c r="W7" s="95"/>
      <c r="X7" s="95"/>
      <c r="Y7" s="95"/>
      <c r="Z7" s="95"/>
      <c r="AA7" s="95"/>
      <c r="AB7" s="95"/>
      <c r="AC7" s="95"/>
      <c r="AD7" s="95"/>
    </row>
    <row r="8" spans="1:30" ht="12.75">
      <c r="A8" s="95"/>
      <c r="B8" s="95"/>
      <c r="C8" s="212" t="s">
        <v>284</v>
      </c>
      <c r="D8" s="212"/>
      <c r="E8" s="216">
        <f>P33</f>
        <v>140.70458227880613</v>
      </c>
      <c r="F8" s="216">
        <f>Q33</f>
        <v>142.5337418484306</v>
      </c>
      <c r="G8" s="216"/>
      <c r="H8" s="216">
        <f>R33</f>
        <v>144.3629014180551</v>
      </c>
      <c r="I8" s="216">
        <f>S33</f>
        <v>145.91065182312195</v>
      </c>
      <c r="J8" s="216">
        <f>T33</f>
        <v>147.73981139274645</v>
      </c>
      <c r="K8" s="215"/>
      <c r="L8" s="212"/>
      <c r="M8" s="212" t="s">
        <v>285</v>
      </c>
      <c r="N8" s="212"/>
      <c r="O8" s="212"/>
      <c r="P8" s="1274">
        <f>'Allowed revenue -DPCR4'!D4</f>
        <v>49.9</v>
      </c>
      <c r="Q8" s="1274">
        <f>'Allowed revenue -DPCR4'!E4</f>
        <v>49.7</v>
      </c>
      <c r="R8" s="1274">
        <f>'Allowed revenue -DPCR4'!F4</f>
        <v>49.7</v>
      </c>
      <c r="S8" s="1274">
        <f>'Allowed revenue -DPCR4'!G4</f>
        <v>49.7</v>
      </c>
      <c r="T8" s="1274">
        <f>'Allowed revenue -DPCR4'!H4</f>
        <v>49.7</v>
      </c>
      <c r="U8" s="215"/>
      <c r="V8" s="95"/>
      <c r="W8" s="95"/>
      <c r="X8" s="95"/>
      <c r="Y8" s="95"/>
      <c r="Z8" s="95"/>
      <c r="AA8" s="95"/>
      <c r="AB8" s="95"/>
      <c r="AC8" s="95"/>
      <c r="AD8" s="95"/>
    </row>
    <row r="9" spans="1:30" ht="12.75">
      <c r="A9" s="95"/>
      <c r="B9" s="95"/>
      <c r="C9" s="212"/>
      <c r="D9" s="212"/>
      <c r="E9" s="218"/>
      <c r="F9" s="218"/>
      <c r="G9" s="218"/>
      <c r="H9" s="218"/>
      <c r="I9" s="218"/>
      <c r="J9" s="218"/>
      <c r="K9" s="212"/>
      <c r="L9" s="212"/>
      <c r="M9" s="212" t="s">
        <v>143</v>
      </c>
      <c r="N9" s="212"/>
      <c r="O9" s="212"/>
      <c r="P9" s="1274">
        <f>'Allowed revenue -DPCR4'!D5</f>
        <v>-45.7</v>
      </c>
      <c r="Q9" s="1274">
        <f>'Allowed revenue -DPCR4'!E5</f>
        <v>-48.2</v>
      </c>
      <c r="R9" s="1274">
        <f>'Allowed revenue -DPCR4'!F5</f>
        <v>-50.6</v>
      </c>
      <c r="S9" s="1274">
        <f>'Allowed revenue -DPCR4'!G5</f>
        <v>-53.1</v>
      </c>
      <c r="T9" s="1274">
        <f>'Allowed revenue -DPCR4'!H5</f>
        <v>-55.6</v>
      </c>
      <c r="U9" s="215"/>
      <c r="V9" s="95"/>
      <c r="W9" s="95"/>
      <c r="X9" s="95"/>
      <c r="Y9" s="95"/>
      <c r="Z9" s="95"/>
      <c r="AA9" s="95"/>
      <c r="AB9" s="95"/>
      <c r="AC9" s="95"/>
      <c r="AD9" s="95"/>
    </row>
    <row r="10" spans="1:30" ht="12.75">
      <c r="A10" s="95"/>
      <c r="B10" s="95"/>
      <c r="C10" s="212" t="s">
        <v>44</v>
      </c>
      <c r="D10" s="212"/>
      <c r="E10" s="218">
        <f>P14+(1-0.577)*P16</f>
        <v>47.230000000000004</v>
      </c>
      <c r="F10" s="218">
        <f>Q14+(1-0.577)*Q16</f>
        <v>48.6877</v>
      </c>
      <c r="G10" s="218"/>
      <c r="H10" s="218">
        <f>R14+(1-0.577)*R16</f>
        <v>49.4146</v>
      </c>
      <c r="I10" s="218">
        <f>S14+(1-0.577)*S16</f>
        <v>49.0992</v>
      </c>
      <c r="J10" s="218">
        <f>T14+(1-0.577)*T16</f>
        <v>48.741499999999995</v>
      </c>
      <c r="K10" s="212"/>
      <c r="L10" s="212"/>
      <c r="M10" s="212" t="s">
        <v>45</v>
      </c>
      <c r="N10" s="212"/>
      <c r="O10" s="212"/>
      <c r="P10" s="1274">
        <f>'Allowed revenue -DPCR4'!D6</f>
        <v>577.8</v>
      </c>
      <c r="Q10" s="1274">
        <f>'Allowed revenue -DPCR4'!E6</f>
        <v>579.3</v>
      </c>
      <c r="R10" s="1274">
        <f>'Allowed revenue -DPCR4'!F6</f>
        <v>578.4</v>
      </c>
      <c r="S10" s="1274">
        <f>'Allowed revenue -DPCR4'!G6</f>
        <v>575</v>
      </c>
      <c r="T10" s="1274">
        <f>'Allowed revenue -DPCR4'!H6</f>
        <v>569.1</v>
      </c>
      <c r="U10" s="212"/>
      <c r="V10" s="95"/>
      <c r="W10" s="95"/>
      <c r="X10" s="95"/>
      <c r="Y10" s="95"/>
      <c r="Z10" s="95"/>
      <c r="AA10" s="95"/>
      <c r="AB10" s="95"/>
      <c r="AC10" s="95"/>
      <c r="AD10" s="95"/>
    </row>
    <row r="11" spans="1:30" ht="12.75">
      <c r="A11" s="95"/>
      <c r="B11" s="95"/>
      <c r="C11" s="212" t="s">
        <v>48</v>
      </c>
      <c r="D11" s="212"/>
      <c r="E11" s="216">
        <f>P20</f>
        <v>1.6</v>
      </c>
      <c r="F11" s="216">
        <f>Q20</f>
        <v>1.6</v>
      </c>
      <c r="G11" s="216">
        <f>R20</f>
        <v>1.6</v>
      </c>
      <c r="H11" s="216">
        <f>R20</f>
        <v>1.6</v>
      </c>
      <c r="I11" s="216">
        <f>S20</f>
        <v>1.3</v>
      </c>
      <c r="J11" s="216">
        <f>T20</f>
        <v>1.3</v>
      </c>
      <c r="K11" s="212"/>
      <c r="L11" s="212"/>
      <c r="M11" s="212" t="s">
        <v>49</v>
      </c>
      <c r="N11" s="212"/>
      <c r="O11" s="212"/>
      <c r="P11" s="1274">
        <f>'Allowed revenue -DPCR4'!D7</f>
        <v>0</v>
      </c>
      <c r="Q11" s="1274"/>
      <c r="R11" s="1274" t="str">
        <f>'Allowed revenue -DPCR4'!F7</f>
        <v> </v>
      </c>
      <c r="S11" s="1274"/>
      <c r="T11" s="1274">
        <f>'Allowed revenue -DPCR4'!H7</f>
        <v>434.5104887627745</v>
      </c>
      <c r="U11" s="218"/>
      <c r="V11" s="95"/>
      <c r="W11" s="95"/>
      <c r="X11" s="95"/>
      <c r="Y11" s="95"/>
      <c r="Z11" s="95"/>
      <c r="AA11" s="95"/>
      <c r="AB11" s="95"/>
      <c r="AC11" s="95"/>
      <c r="AD11" s="95"/>
    </row>
    <row r="12" spans="1:30" ht="12.75">
      <c r="A12" s="95"/>
      <c r="B12" s="95"/>
      <c r="C12" s="212" t="s">
        <v>50</v>
      </c>
      <c r="D12" s="212"/>
      <c r="E12" s="216">
        <f>P21</f>
        <v>0.9</v>
      </c>
      <c r="F12" s="216"/>
      <c r="G12" s="216"/>
      <c r="H12" s="216"/>
      <c r="I12" s="216"/>
      <c r="J12" s="216"/>
      <c r="K12" s="215"/>
      <c r="L12" s="212"/>
      <c r="M12" s="212" t="s">
        <v>51</v>
      </c>
      <c r="N12" s="212"/>
      <c r="O12" s="212"/>
      <c r="P12" s="1274"/>
      <c r="Q12" s="1274" t="str">
        <f>'Allowed revenue -DPCR4'!E8</f>
        <v> </v>
      </c>
      <c r="R12" s="1274"/>
      <c r="S12" s="1274"/>
      <c r="T12" s="1274">
        <f>'Allowed revenue -DPCR4'!H8</f>
        <v>139.0895112372255</v>
      </c>
      <c r="U12" s="218"/>
      <c r="V12" s="95"/>
      <c r="W12" s="95"/>
      <c r="X12" s="95"/>
      <c r="Y12" s="95"/>
      <c r="Z12" s="95"/>
      <c r="AA12" s="95"/>
      <c r="AB12" s="95"/>
      <c r="AC12" s="95"/>
      <c r="AD12" s="95"/>
    </row>
    <row r="13" spans="1:30" ht="12.75">
      <c r="A13" s="95"/>
      <c r="B13" s="95"/>
      <c r="C13" s="212" t="s">
        <v>53</v>
      </c>
      <c r="D13" s="212"/>
      <c r="E13" s="218">
        <f>SUM(E10:E12)</f>
        <v>49.730000000000004</v>
      </c>
      <c r="F13" s="218">
        <f>SUM(F10:F12)</f>
        <v>50.2877</v>
      </c>
      <c r="G13" s="218"/>
      <c r="H13" s="218">
        <f>SUM(H10:H12)</f>
        <v>51.0146</v>
      </c>
      <c r="I13" s="218">
        <f>SUM(I10:I12)</f>
        <v>50.3992</v>
      </c>
      <c r="J13" s="218">
        <f>SUM(J10:J12)</f>
        <v>50.04149999999999</v>
      </c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95"/>
      <c r="W13" s="95"/>
      <c r="X13" s="95"/>
      <c r="Y13" s="95"/>
      <c r="Z13" s="95"/>
      <c r="AA13" s="95"/>
      <c r="AB13" s="95"/>
      <c r="AC13" s="95"/>
      <c r="AD13" s="95"/>
    </row>
    <row r="14" spans="1:30" ht="12.75">
      <c r="A14" s="95"/>
      <c r="B14" s="95"/>
      <c r="C14" s="212"/>
      <c r="D14" s="212"/>
      <c r="E14" s="218"/>
      <c r="F14" s="218"/>
      <c r="G14" s="218"/>
      <c r="H14" s="218"/>
      <c r="I14" s="218"/>
      <c r="J14" s="218"/>
      <c r="K14" s="212"/>
      <c r="L14" s="212"/>
      <c r="M14" s="212" t="s">
        <v>10</v>
      </c>
      <c r="N14" s="212"/>
      <c r="O14" s="212"/>
      <c r="P14" s="279">
        <f>'Allowed revenue -DPCR4'!D10</f>
        <v>43</v>
      </c>
      <c r="Q14" s="279">
        <f>'Allowed revenue -DPCR4'!E10</f>
        <v>44.5</v>
      </c>
      <c r="R14" s="279">
        <f>'Allowed revenue -DPCR4'!F10</f>
        <v>45.1</v>
      </c>
      <c r="S14" s="279">
        <f>'Allowed revenue -DPCR4'!G10</f>
        <v>44.7</v>
      </c>
      <c r="T14" s="279">
        <f>'Allowed revenue -DPCR4'!H10</f>
        <v>44.3</v>
      </c>
      <c r="U14" s="215"/>
      <c r="V14" s="95"/>
      <c r="W14" s="95"/>
      <c r="X14" s="95"/>
      <c r="Y14" s="95"/>
      <c r="Z14" s="95"/>
      <c r="AA14" s="95"/>
      <c r="AB14" s="95"/>
      <c r="AC14" s="95"/>
      <c r="AD14" s="95"/>
    </row>
    <row r="15" spans="1:30" ht="12.75">
      <c r="A15" s="95"/>
      <c r="B15" s="95"/>
      <c r="C15" s="212" t="s">
        <v>11</v>
      </c>
      <c r="D15" s="212"/>
      <c r="E15" s="218"/>
      <c r="F15" s="218"/>
      <c r="G15" s="218"/>
      <c r="H15" s="218"/>
      <c r="I15" s="218"/>
      <c r="J15" s="218"/>
      <c r="K15" s="212"/>
      <c r="L15" s="212"/>
      <c r="M15" s="212" t="s">
        <v>12</v>
      </c>
      <c r="N15" s="212"/>
      <c r="O15" s="212"/>
      <c r="P15" s="279">
        <f>'Allowed revenue -DPCR4'!D11</f>
        <v>44.1</v>
      </c>
      <c r="Q15" s="279">
        <f>'Allowed revenue -DPCR4'!E11</f>
        <v>44</v>
      </c>
      <c r="R15" s="279">
        <f>'Allowed revenue -DPCR4'!F11</f>
        <v>43.8</v>
      </c>
      <c r="S15" s="279">
        <f>'Allowed revenue -DPCR4'!G11</f>
        <v>43.7</v>
      </c>
      <c r="T15" s="279">
        <f>'Allowed revenue -DPCR4'!H11</f>
        <v>43.6</v>
      </c>
      <c r="U15" s="215"/>
      <c r="V15" s="95"/>
      <c r="W15" s="95"/>
      <c r="X15" s="95"/>
      <c r="Y15" s="95"/>
      <c r="Z15" s="95"/>
      <c r="AA15" s="95"/>
      <c r="AB15" s="95"/>
      <c r="AC15" s="95"/>
      <c r="AD15" s="95"/>
    </row>
    <row r="16" spans="1:30" ht="12.75">
      <c r="A16" s="95"/>
      <c r="B16" s="95"/>
      <c r="C16" s="212" t="s">
        <v>143</v>
      </c>
      <c r="D16" s="220"/>
      <c r="E16" s="218">
        <f>-P9</f>
        <v>45.7</v>
      </c>
      <c r="F16" s="218">
        <f>-Q9</f>
        <v>48.2</v>
      </c>
      <c r="G16" s="218"/>
      <c r="H16" s="218">
        <f>-R9</f>
        <v>50.6</v>
      </c>
      <c r="I16" s="218">
        <f>-S9</f>
        <v>53.1</v>
      </c>
      <c r="J16" s="218">
        <f>-T9</f>
        <v>55.6</v>
      </c>
      <c r="K16" s="221"/>
      <c r="L16" s="212"/>
      <c r="M16" s="212" t="s">
        <v>13</v>
      </c>
      <c r="N16" s="212"/>
      <c r="O16" s="212"/>
      <c r="P16" s="279">
        <f>'Allowed revenue -DPCR4'!D12</f>
        <v>10</v>
      </c>
      <c r="Q16" s="279">
        <f>'Allowed revenue -DPCR4'!E12</f>
        <v>9.9</v>
      </c>
      <c r="R16" s="279">
        <f>'Allowed revenue -DPCR4'!F12</f>
        <v>10.2</v>
      </c>
      <c r="S16" s="279">
        <f>'Allowed revenue -DPCR4'!G12</f>
        <v>10.4</v>
      </c>
      <c r="T16" s="279">
        <f>'Allowed revenue -DPCR4'!H12</f>
        <v>10.5</v>
      </c>
      <c r="U16" s="215"/>
      <c r="V16" s="95"/>
      <c r="W16" s="95"/>
      <c r="X16" s="95"/>
      <c r="Y16" s="95"/>
      <c r="Z16" s="95"/>
      <c r="AA16" s="95"/>
      <c r="AB16" s="95"/>
      <c r="AC16" s="95"/>
      <c r="AD16" s="95"/>
    </row>
    <row r="17" spans="1:30" ht="12.75">
      <c r="A17" s="95"/>
      <c r="B17" s="95"/>
      <c r="C17" s="212" t="s">
        <v>14</v>
      </c>
      <c r="D17" s="212"/>
      <c r="E17" s="218">
        <f aca="true" t="shared" si="0" ref="E17:F19">P17</f>
        <v>13.1</v>
      </c>
      <c r="F17" s="218">
        <f t="shared" si="0"/>
        <v>14.2</v>
      </c>
      <c r="G17" s="218"/>
      <c r="H17" s="218">
        <f aca="true" t="shared" si="1" ref="H17:J19">R17</f>
        <v>15</v>
      </c>
      <c r="I17" s="218">
        <f t="shared" si="1"/>
        <v>15.9</v>
      </c>
      <c r="J17" s="218">
        <f t="shared" si="1"/>
        <v>16.7</v>
      </c>
      <c r="K17" s="212"/>
      <c r="L17" s="212"/>
      <c r="M17" s="212" t="s">
        <v>14</v>
      </c>
      <c r="N17" s="212"/>
      <c r="O17" s="212"/>
      <c r="P17" s="279">
        <f>'Allowed revenue -DPCR4'!D13</f>
        <v>13.1</v>
      </c>
      <c r="Q17" s="279">
        <f>'Allowed revenue -DPCR4'!E13</f>
        <v>14.2</v>
      </c>
      <c r="R17" s="279">
        <f>'Allowed revenue -DPCR4'!F13</f>
        <v>15</v>
      </c>
      <c r="S17" s="279">
        <f>'Allowed revenue -DPCR4'!G13</f>
        <v>15.9</v>
      </c>
      <c r="T17" s="279">
        <f>'Allowed revenue -DPCR4'!H13</f>
        <v>16.7</v>
      </c>
      <c r="U17" s="215"/>
      <c r="V17" s="95"/>
      <c r="W17" s="95"/>
      <c r="X17" s="95"/>
      <c r="Y17" s="95"/>
      <c r="Z17" s="95"/>
      <c r="AA17" s="95"/>
      <c r="AB17" s="95"/>
      <c r="AC17" s="95"/>
      <c r="AD17" s="95"/>
    </row>
    <row r="18" spans="1:30" ht="12.75">
      <c r="A18" s="95"/>
      <c r="B18" s="95"/>
      <c r="C18" s="212" t="s">
        <v>16</v>
      </c>
      <c r="D18" s="212"/>
      <c r="E18" s="216">
        <f t="shared" si="0"/>
        <v>-1.7</v>
      </c>
      <c r="F18" s="216">
        <f t="shared" si="0"/>
        <v>-1.1</v>
      </c>
      <c r="G18" s="216"/>
      <c r="H18" s="216">
        <f t="shared" si="1"/>
        <v>-0.9</v>
      </c>
      <c r="I18" s="216">
        <f t="shared" si="1"/>
        <v>-0.3</v>
      </c>
      <c r="J18" s="216">
        <f t="shared" si="1"/>
        <v>-0.1</v>
      </c>
      <c r="K18" s="215"/>
      <c r="L18" s="212"/>
      <c r="M18" s="212" t="s">
        <v>17</v>
      </c>
      <c r="N18" s="212"/>
      <c r="O18" s="212"/>
      <c r="P18" s="279">
        <f>'Allowed revenue -DPCR4'!D14</f>
        <v>-1.7</v>
      </c>
      <c r="Q18" s="279">
        <f>'Allowed revenue -DPCR4'!E14</f>
        <v>-1.1</v>
      </c>
      <c r="R18" s="279">
        <f>'Allowed revenue -DPCR4'!F14</f>
        <v>-0.9</v>
      </c>
      <c r="S18" s="279">
        <f>'Allowed revenue -DPCR4'!G14</f>
        <v>-0.3</v>
      </c>
      <c r="T18" s="279">
        <f>'Allowed revenue -DPCR4'!H14</f>
        <v>-0.1</v>
      </c>
      <c r="U18" s="215"/>
      <c r="V18" s="95"/>
      <c r="W18" s="95"/>
      <c r="X18" s="95"/>
      <c r="Y18" s="95"/>
      <c r="Z18" s="95"/>
      <c r="AA18" s="95"/>
      <c r="AB18" s="95"/>
      <c r="AC18" s="95"/>
      <c r="AD18" s="95"/>
    </row>
    <row r="19" spans="1:30" ht="12.75">
      <c r="A19" s="95"/>
      <c r="B19" s="95"/>
      <c r="C19" s="212" t="s">
        <v>18</v>
      </c>
      <c r="D19" s="212"/>
      <c r="E19" s="216">
        <f t="shared" si="0"/>
        <v>1.2</v>
      </c>
      <c r="F19" s="216">
        <f t="shared" si="0"/>
        <v>1.2</v>
      </c>
      <c r="G19" s="216"/>
      <c r="H19" s="216">
        <f t="shared" si="1"/>
        <v>1.2</v>
      </c>
      <c r="I19" s="216">
        <f t="shared" si="1"/>
        <v>1.2</v>
      </c>
      <c r="J19" s="216">
        <f t="shared" si="1"/>
        <v>1.1</v>
      </c>
      <c r="K19" s="221"/>
      <c r="L19" s="212"/>
      <c r="M19" s="212" t="s">
        <v>19</v>
      </c>
      <c r="N19" s="212"/>
      <c r="O19" s="212"/>
      <c r="P19" s="279">
        <f>'Allowed revenue -DPCR4'!D15</f>
        <v>1.2</v>
      </c>
      <c r="Q19" s="279">
        <f>'Allowed revenue -DPCR4'!E15</f>
        <v>1.2</v>
      </c>
      <c r="R19" s="279">
        <f>'Allowed revenue -DPCR4'!F15</f>
        <v>1.2</v>
      </c>
      <c r="S19" s="279">
        <f>'Allowed revenue -DPCR4'!G15</f>
        <v>1.2</v>
      </c>
      <c r="T19" s="279">
        <f>'Allowed revenue -DPCR4'!H15</f>
        <v>1.1</v>
      </c>
      <c r="U19" s="215"/>
      <c r="V19" s="95"/>
      <c r="W19" s="95"/>
      <c r="X19" s="95"/>
      <c r="Y19" s="95"/>
      <c r="Z19" s="95"/>
      <c r="AA19" s="95"/>
      <c r="AB19" s="95"/>
      <c r="AC19" s="95"/>
      <c r="AD19" s="95"/>
    </row>
    <row r="20" spans="1:30" ht="12.75">
      <c r="A20" s="95"/>
      <c r="B20" s="95"/>
      <c r="C20" s="212" t="s">
        <v>21</v>
      </c>
      <c r="D20" s="221"/>
      <c r="E20" s="218">
        <f>E8-E13-E16-E17-E18-E19</f>
        <v>32.67458227880612</v>
      </c>
      <c r="F20" s="218">
        <f>F8-F13-F16-F17-F18-F19</f>
        <v>29.746041848430593</v>
      </c>
      <c r="G20" s="218"/>
      <c r="H20" s="218">
        <f>H8-H13-H16-H17-H18-H19</f>
        <v>27.448301418055085</v>
      </c>
      <c r="I20" s="218">
        <f>I8-I13-I16-I17-I18-I19</f>
        <v>25.611451823121946</v>
      </c>
      <c r="J20" s="218">
        <f>J8-J13-J16-J17-J18-J19</f>
        <v>24.39831139274646</v>
      </c>
      <c r="K20" s="221"/>
      <c r="L20" s="212"/>
      <c r="M20" s="212" t="s">
        <v>78</v>
      </c>
      <c r="N20" s="212"/>
      <c r="O20" s="212"/>
      <c r="P20" s="1275">
        <f>IF(ISNUMBER('Allowed revenue -DPCR4'!D16+'Allowed revenue -DPCR4'!D17),'Allowed revenue -DPCR4'!D16+'Allowed revenue -DPCR4'!D17,"")</f>
        <v>1.6</v>
      </c>
      <c r="Q20" s="1275">
        <f>IF(ISNUMBER('Allowed revenue -DPCR4'!E16+'Allowed revenue -DPCR4'!E17),'Allowed revenue -DPCR4'!E16+'Allowed revenue -DPCR4'!E17,"")</f>
        <v>1.6</v>
      </c>
      <c r="R20" s="1275">
        <f>IF(ISNUMBER('Allowed revenue -DPCR4'!F16+'Allowed revenue -DPCR4'!F17),'Allowed revenue -DPCR4'!F16+'Allowed revenue -DPCR4'!F17,"")</f>
        <v>1.6</v>
      </c>
      <c r="S20" s="1275">
        <f>IF(ISNUMBER('Allowed revenue -DPCR4'!G16+'Allowed revenue -DPCR4'!G17),'Allowed revenue -DPCR4'!G16+'Allowed revenue -DPCR4'!G17,"")</f>
        <v>1.3</v>
      </c>
      <c r="T20" s="1275">
        <f>IF(ISNUMBER('Allowed revenue -DPCR4'!H16+'Allowed revenue -DPCR4'!H17),'Allowed revenue -DPCR4'!H16+'Allowed revenue -DPCR4'!H17,"")</f>
        <v>1.3</v>
      </c>
      <c r="U20" s="215"/>
      <c r="V20" s="95"/>
      <c r="W20" s="95"/>
      <c r="X20" s="95"/>
      <c r="Y20" s="95"/>
      <c r="Z20" s="95"/>
      <c r="AA20" s="95"/>
      <c r="AB20" s="95"/>
      <c r="AC20" s="95"/>
      <c r="AD20" s="95"/>
    </row>
    <row r="21" spans="1:30" ht="12.75">
      <c r="A21" s="95"/>
      <c r="B21" s="95"/>
      <c r="C21" s="212" t="s">
        <v>177</v>
      </c>
      <c r="D21" s="212"/>
      <c r="E21" s="218">
        <f>SUM(E16:E20)</f>
        <v>90.97458227880612</v>
      </c>
      <c r="F21" s="218">
        <f>SUM(F16:F20)</f>
        <v>92.2460418484306</v>
      </c>
      <c r="G21" s="218"/>
      <c r="H21" s="218">
        <f>SUM(H16:H20)</f>
        <v>93.34830141805507</v>
      </c>
      <c r="I21" s="218">
        <f>SUM(I16:I20)</f>
        <v>95.51145182312194</v>
      </c>
      <c r="J21" s="218">
        <f>SUM(J16:J20)</f>
        <v>97.69831139274646</v>
      </c>
      <c r="K21" s="212"/>
      <c r="L21" s="212"/>
      <c r="M21" s="212" t="s">
        <v>50</v>
      </c>
      <c r="N21" s="212"/>
      <c r="O21" s="212"/>
      <c r="P21" s="279">
        <f>'Allowed revenue -DPCR4'!D18</f>
        <v>0.9</v>
      </c>
      <c r="Q21" s="279">
        <f>'Allowed revenue -DPCR4'!E18</f>
        <v>0</v>
      </c>
      <c r="R21" s="279">
        <f>'Allowed revenue -DPCR4'!F18</f>
        <v>0</v>
      </c>
      <c r="S21" s="279">
        <f>'Allowed revenue -DPCR4'!G18</f>
        <v>0</v>
      </c>
      <c r="T21" s="279">
        <f>'Allowed revenue -DPCR4'!H18</f>
        <v>0</v>
      </c>
      <c r="U21" s="215"/>
      <c r="V21" s="95"/>
      <c r="W21" s="95"/>
      <c r="X21" s="95"/>
      <c r="Y21" s="95"/>
      <c r="Z21" s="95"/>
      <c r="AA21" s="95"/>
      <c r="AB21" s="95"/>
      <c r="AC21" s="95"/>
      <c r="AD21" s="95"/>
    </row>
    <row r="22" spans="1:30" ht="12.75">
      <c r="A22" s="95"/>
      <c r="B22" s="95"/>
      <c r="C22" s="232" t="s">
        <v>178</v>
      </c>
      <c r="D22" s="212"/>
      <c r="E22" s="218">
        <f>E21-E16</f>
        <v>45.27458227880612</v>
      </c>
      <c r="F22" s="218">
        <f>F21-F16</f>
        <v>44.04604184843059</v>
      </c>
      <c r="G22" s="218"/>
      <c r="H22" s="218">
        <f>H21-H16</f>
        <v>42.74830141805507</v>
      </c>
      <c r="I22" s="218">
        <f>I21-I16</f>
        <v>42.41145182312194</v>
      </c>
      <c r="J22" s="218">
        <f>J21-J16</f>
        <v>42.09831139274646</v>
      </c>
      <c r="K22" s="233"/>
      <c r="L22" s="233"/>
      <c r="M22" s="233" t="s">
        <v>341</v>
      </c>
      <c r="N22" s="233"/>
      <c r="O22" s="233"/>
      <c r="P22" s="212">
        <f>'Allowed revenue -DPCR4'!D19</f>
        <v>112.2</v>
      </c>
      <c r="Q22" s="212">
        <f>'Allowed revenue -DPCR4'!E19</f>
        <v>114.3</v>
      </c>
      <c r="R22" s="212">
        <f>'Allowed revenue -DPCR4'!F19</f>
        <v>116</v>
      </c>
      <c r="S22" s="212">
        <f>'Allowed revenue -DPCR4'!G19</f>
        <v>116.9</v>
      </c>
      <c r="T22" s="212">
        <f>'Allowed revenue -DPCR4'!H19</f>
        <v>117.4</v>
      </c>
      <c r="U22" s="212"/>
      <c r="V22" s="95"/>
      <c r="W22" s="95"/>
      <c r="X22" s="95"/>
      <c r="Y22" s="95"/>
      <c r="Z22" s="95"/>
      <c r="AA22" s="95"/>
      <c r="AB22" s="95"/>
      <c r="AC22" s="95"/>
      <c r="AD22" s="95"/>
    </row>
    <row r="23" spans="1:30" ht="12.75">
      <c r="A23" s="95"/>
      <c r="B23" s="95"/>
      <c r="C23" s="212"/>
      <c r="D23" s="212"/>
      <c r="E23" s="218"/>
      <c r="F23" s="218"/>
      <c r="G23" s="218"/>
      <c r="H23" s="218"/>
      <c r="I23" s="218"/>
      <c r="J23" s="218"/>
      <c r="K23" s="233"/>
      <c r="L23" s="233"/>
      <c r="M23" s="233" t="s">
        <v>133</v>
      </c>
      <c r="N23" s="233"/>
      <c r="O23" s="233"/>
      <c r="P23" s="212">
        <f>'Allowed revenue -DPCR4'!D20</f>
        <v>109.21292148782669</v>
      </c>
      <c r="Q23" s="212">
        <f>'Allowed revenue -DPCR4'!E20</f>
        <v>105.41192249868327</v>
      </c>
      <c r="R23" s="212">
        <f>'Allowed revenue -DPCR4'!F20</f>
        <v>101.35935275953834</v>
      </c>
      <c r="S23" s="212">
        <f>'Allowed revenue -DPCR4'!G20</f>
        <v>96.77934675346872</v>
      </c>
      <c r="T23" s="212">
        <f>'Allowed revenue -DPCR4'!H20</f>
        <v>92.08706002266071</v>
      </c>
      <c r="U23" s="218"/>
      <c r="V23" s="95"/>
      <c r="W23" s="95"/>
      <c r="X23" s="95"/>
      <c r="Y23" s="95"/>
      <c r="Z23" s="95"/>
      <c r="AA23" s="95"/>
      <c r="AB23" s="95"/>
      <c r="AC23" s="95"/>
      <c r="AD23" s="95"/>
    </row>
    <row r="24" spans="1:30" ht="12.75">
      <c r="A24" s="95"/>
      <c r="B24" s="95"/>
      <c r="C24" s="212" t="s">
        <v>134</v>
      </c>
      <c r="D24" s="212"/>
      <c r="E24" s="218"/>
      <c r="F24" s="218"/>
      <c r="G24" s="218"/>
      <c r="H24" s="218"/>
      <c r="I24" s="218"/>
      <c r="J24" s="218"/>
      <c r="K24" s="233"/>
      <c r="L24" s="212"/>
      <c r="M24" s="212" t="s">
        <v>51</v>
      </c>
      <c r="N24" s="212"/>
      <c r="O24" s="212"/>
      <c r="P24" s="212"/>
      <c r="Q24" s="212"/>
      <c r="R24" s="212"/>
      <c r="S24" s="212"/>
      <c r="T24" s="212">
        <f>'Allowed revenue -DPCR4'!H21</f>
        <v>139.0895112372255</v>
      </c>
      <c r="U24" s="218"/>
      <c r="V24" s="95"/>
      <c r="W24" s="95"/>
      <c r="X24" s="95"/>
      <c r="Y24" s="95"/>
      <c r="Z24" s="95"/>
      <c r="AA24" s="95"/>
      <c r="AB24" s="95"/>
      <c r="AC24" s="95"/>
      <c r="AD24" s="95"/>
    </row>
    <row r="25" spans="1:30" ht="12.75">
      <c r="A25" s="95"/>
      <c r="B25" s="95"/>
      <c r="C25" s="212"/>
      <c r="D25" s="212"/>
      <c r="E25" s="218"/>
      <c r="F25" s="218"/>
      <c r="G25" s="218"/>
      <c r="H25" s="218"/>
      <c r="I25" s="218"/>
      <c r="J25" s="218"/>
      <c r="K25" s="212"/>
      <c r="L25" s="212"/>
      <c r="M25" s="212" t="s">
        <v>135</v>
      </c>
      <c r="N25" s="212"/>
      <c r="O25" s="212"/>
      <c r="P25" s="212"/>
      <c r="Q25" s="212"/>
      <c r="R25" s="212"/>
      <c r="S25" s="212"/>
      <c r="T25" s="212">
        <f>'Allowed revenue -DPCR4'!H22</f>
        <v>643.9401147594033</v>
      </c>
      <c r="U25" s="218"/>
      <c r="V25" s="95"/>
      <c r="W25" s="95"/>
      <c r="X25" s="95"/>
      <c r="Y25" s="95"/>
      <c r="Z25" s="95"/>
      <c r="AA25" s="95"/>
      <c r="AB25" s="95"/>
      <c r="AC25" s="95"/>
      <c r="AD25" s="95"/>
    </row>
    <row r="26" spans="1:30" ht="12.75">
      <c r="A26" s="95"/>
      <c r="B26" s="95"/>
      <c r="C26" s="212" t="s">
        <v>232</v>
      </c>
      <c r="D26" s="212"/>
      <c r="E26" s="216">
        <f>E13</f>
        <v>49.730000000000004</v>
      </c>
      <c r="F26" s="216">
        <f>F13</f>
        <v>50.2877</v>
      </c>
      <c r="G26" s="216"/>
      <c r="H26" s="216">
        <f>H13</f>
        <v>51.0146</v>
      </c>
      <c r="I26" s="216">
        <f>I13</f>
        <v>50.3992</v>
      </c>
      <c r="J26" s="216">
        <f>J13</f>
        <v>50.04149999999999</v>
      </c>
      <c r="K26" s="216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95"/>
      <c r="W26" s="95"/>
      <c r="X26" s="95"/>
      <c r="Y26" s="95"/>
      <c r="Z26" s="95"/>
      <c r="AA26" s="95"/>
      <c r="AB26" s="95"/>
      <c r="AC26" s="95"/>
      <c r="AD26" s="95"/>
    </row>
    <row r="27" spans="1:30" ht="12.75">
      <c r="A27" s="95"/>
      <c r="B27" s="95"/>
      <c r="C27" s="212" t="s">
        <v>143</v>
      </c>
      <c r="D27" s="212"/>
      <c r="E27" s="216">
        <f>E16</f>
        <v>45.7</v>
      </c>
      <c r="F27" s="216">
        <f>F16</f>
        <v>48.2</v>
      </c>
      <c r="G27" s="216"/>
      <c r="H27" s="216">
        <f>H16</f>
        <v>50.6</v>
      </c>
      <c r="I27" s="216">
        <f>I16</f>
        <v>53.1</v>
      </c>
      <c r="J27" s="216">
        <f>J16</f>
        <v>55.6</v>
      </c>
      <c r="K27" s="215"/>
      <c r="L27" s="212"/>
      <c r="M27" s="220">
        <v>0.05545</v>
      </c>
      <c r="N27" s="220"/>
      <c r="O27" s="212"/>
      <c r="P27" s="233">
        <f>1/(1+M27)</f>
        <v>0.9474631673693685</v>
      </c>
      <c r="Q27" s="233">
        <f>P27/(1+M27)</f>
        <v>0.897686453521596</v>
      </c>
      <c r="R27" s="233">
        <f>Q27/(1+M27)</f>
        <v>0.8505248505581467</v>
      </c>
      <c r="S27" s="233">
        <f>R27/(1+M27)</f>
        <v>0.8058409688361805</v>
      </c>
      <c r="T27" s="233">
        <f>S27/(1+M27)</f>
        <v>0.7635046367295282</v>
      </c>
      <c r="U27" s="233"/>
      <c r="V27" s="95"/>
      <c r="W27" s="95"/>
      <c r="X27" s="95"/>
      <c r="Y27" s="95"/>
      <c r="Z27" s="95"/>
      <c r="AA27" s="95"/>
      <c r="AB27" s="95"/>
      <c r="AC27" s="95"/>
      <c r="AD27" s="95"/>
    </row>
    <row r="28" spans="1:30" ht="12.75">
      <c r="A28" s="95"/>
      <c r="B28" s="95"/>
      <c r="C28" s="212" t="s">
        <v>21</v>
      </c>
      <c r="D28" s="221"/>
      <c r="E28" s="218">
        <f>E20</f>
        <v>32.67458227880612</v>
      </c>
      <c r="F28" s="218">
        <f>F20</f>
        <v>29.746041848430593</v>
      </c>
      <c r="G28" s="218"/>
      <c r="H28" s="218">
        <f>H20</f>
        <v>27.448301418055085</v>
      </c>
      <c r="I28" s="218">
        <f>I20</f>
        <v>25.611451823121946</v>
      </c>
      <c r="J28" s="218">
        <f>J20</f>
        <v>24.39831139274646</v>
      </c>
      <c r="K28" s="221"/>
      <c r="L28" s="212"/>
      <c r="M28" s="212"/>
      <c r="N28" s="212"/>
      <c r="O28" s="212"/>
      <c r="P28" s="233">
        <v>1</v>
      </c>
      <c r="Q28" s="233">
        <f>P27</f>
        <v>0.9474631673693685</v>
      </c>
      <c r="R28" s="233">
        <f>Q27</f>
        <v>0.897686453521596</v>
      </c>
      <c r="S28" s="233">
        <f>R27</f>
        <v>0.8505248505581467</v>
      </c>
      <c r="T28" s="233">
        <f>S27</f>
        <v>0.8058409688361805</v>
      </c>
      <c r="U28" s="233"/>
      <c r="V28" s="95"/>
      <c r="W28" s="95"/>
      <c r="X28" s="95"/>
      <c r="Y28" s="95"/>
      <c r="Z28" s="95"/>
      <c r="AA28" s="95"/>
      <c r="AB28" s="95"/>
      <c r="AC28" s="95"/>
      <c r="AD28" s="95"/>
    </row>
    <row r="29" spans="1:30" ht="12.75">
      <c r="A29" s="95"/>
      <c r="B29" s="95"/>
      <c r="C29" s="212"/>
      <c r="D29" s="221"/>
      <c r="E29" s="221"/>
      <c r="F29" s="221"/>
      <c r="G29" s="221"/>
      <c r="H29" s="221"/>
      <c r="I29" s="221"/>
      <c r="J29" s="221"/>
      <c r="K29" s="221"/>
      <c r="L29" s="212"/>
      <c r="M29" s="212"/>
      <c r="N29" s="212"/>
      <c r="O29" s="212"/>
      <c r="P29" s="233">
        <f>1/(1+M27)^0.5</f>
        <v>0.9733771968612006</v>
      </c>
      <c r="Q29" s="233">
        <f>1/(1+M27)^1.5</f>
        <v>0.9222390419832306</v>
      </c>
      <c r="R29" s="233">
        <f>1/(1+M27)^2.5</f>
        <v>0.8737875237891236</v>
      </c>
      <c r="S29" s="233">
        <f>1/(1+M27)^3.5</f>
        <v>0.8278814948970804</v>
      </c>
      <c r="T29" s="233">
        <f>1/(1+M27)^4.5</f>
        <v>0.7843872233616755</v>
      </c>
      <c r="U29" s="233"/>
      <c r="V29" s="95"/>
      <c r="W29" s="95"/>
      <c r="X29" s="95"/>
      <c r="Y29" s="95"/>
      <c r="Z29" s="95"/>
      <c r="AA29" s="95"/>
      <c r="AB29" s="95"/>
      <c r="AC29" s="95"/>
      <c r="AD29" s="95"/>
    </row>
    <row r="30" spans="1:30" ht="12.75">
      <c r="A30" s="95"/>
      <c r="B30" s="95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95"/>
      <c r="W30" s="95"/>
      <c r="X30" s="95"/>
      <c r="Y30" s="95"/>
      <c r="Z30" s="95"/>
      <c r="AA30" s="95"/>
      <c r="AB30" s="95"/>
      <c r="AC30" s="95"/>
      <c r="AD30" s="95"/>
    </row>
    <row r="31" spans="1:30" ht="12.75">
      <c r="A31" s="95"/>
      <c r="B31" s="95"/>
      <c r="C31" s="212"/>
      <c r="D31" s="215"/>
      <c r="E31" s="212"/>
      <c r="F31" s="212"/>
      <c r="G31" s="212"/>
      <c r="H31" s="212"/>
      <c r="I31" s="212"/>
      <c r="J31" s="212"/>
      <c r="K31" s="212"/>
      <c r="L31" s="212"/>
      <c r="M31" s="212" t="s">
        <v>139</v>
      </c>
      <c r="N31" s="212"/>
      <c r="O31" s="212"/>
      <c r="P31" s="279">
        <f>'Allowed revenue -DPCR4'!D24</f>
        <v>1</v>
      </c>
      <c r="Q31" s="279">
        <f>'Allowed revenue -DPCR4'!E24</f>
        <v>1.013</v>
      </c>
      <c r="R31" s="279">
        <f>'Allowed revenue -DPCR4'!F24</f>
        <v>1.026</v>
      </c>
      <c r="S31" s="279">
        <f>'Allowed revenue -DPCR4'!G24</f>
        <v>1.037</v>
      </c>
      <c r="T31" s="279">
        <f>'Allowed revenue -DPCR4'!H24</f>
        <v>1.05</v>
      </c>
      <c r="U31" s="215"/>
      <c r="V31" s="95"/>
      <c r="W31" s="95"/>
      <c r="X31" s="95"/>
      <c r="Y31" s="95"/>
      <c r="Z31" s="95"/>
      <c r="AA31" s="95"/>
      <c r="AB31" s="95"/>
      <c r="AC31" s="95"/>
      <c r="AD31" s="95"/>
    </row>
    <row r="32" spans="1:48" ht="12.75">
      <c r="A32" s="95"/>
      <c r="B32" s="95"/>
      <c r="C32" s="212"/>
      <c r="D32" s="215"/>
      <c r="E32" s="212"/>
      <c r="F32" s="212"/>
      <c r="G32" s="212"/>
      <c r="H32" s="212"/>
      <c r="I32" s="212"/>
      <c r="J32" s="212"/>
      <c r="K32" s="212"/>
      <c r="L32" s="212"/>
      <c r="M32" s="212" t="s">
        <v>140</v>
      </c>
      <c r="N32" s="212"/>
      <c r="O32" s="212"/>
      <c r="P32" s="247">
        <f>P31*P29</f>
        <v>0.9733771968612006</v>
      </c>
      <c r="Q32" s="247">
        <f>Q31*Q29</f>
        <v>0.9342281495290125</v>
      </c>
      <c r="R32" s="247">
        <f>R31*R29</f>
        <v>0.8965059994076409</v>
      </c>
      <c r="S32" s="247">
        <f>S31*S29</f>
        <v>0.8585131102082724</v>
      </c>
      <c r="T32" s="247">
        <f>T31*T29</f>
        <v>0.8236065845297593</v>
      </c>
      <c r="U32" s="247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</row>
    <row r="33" spans="1:48" ht="12.75">
      <c r="A33" s="95"/>
      <c r="B33" s="95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 t="s">
        <v>141</v>
      </c>
      <c r="N33" s="212"/>
      <c r="O33" s="212"/>
      <c r="P33" s="218">
        <f>($T$25-$O$39)/SUM($P$32:$V$32)*P31</f>
        <v>140.70458227880613</v>
      </c>
      <c r="Q33" s="218">
        <f>($T$25-$O$39)/SUM($P$32:$V$32)*Q31</f>
        <v>142.5337418484306</v>
      </c>
      <c r="R33" s="218">
        <f>($T$25-$O$39)/SUM($P$32:$V$32)*R31</f>
        <v>144.3629014180551</v>
      </c>
      <c r="S33" s="218">
        <f>($T$25-$O$39)/SUM($P$32:$V$32)*S31</f>
        <v>145.91065182312195</v>
      </c>
      <c r="T33" s="218">
        <f>($T$25-$O$39)/SUM($P$32:$V$32)*T31</f>
        <v>147.73981139274645</v>
      </c>
      <c r="U33" s="218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314"/>
      <c r="AQ33" s="314"/>
      <c r="AR33" s="314"/>
      <c r="AS33" s="314"/>
      <c r="AT33" s="314"/>
      <c r="AU33" s="95"/>
      <c r="AV33" s="95"/>
    </row>
    <row r="34" spans="1:48" ht="12.75">
      <c r="A34" s="95"/>
      <c r="B34" s="95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 t="s">
        <v>39</v>
      </c>
      <c r="N34" s="212"/>
      <c r="O34" s="212"/>
      <c r="P34" s="212">
        <f>'Allowed revenue -DPCR4'!D27</f>
        <v>2.9</v>
      </c>
      <c r="Q34" s="212">
        <f>'Allowed revenue -DPCR4'!E27</f>
        <v>2.9</v>
      </c>
      <c r="R34" s="212">
        <f>'Allowed revenue -DPCR4'!F27</f>
        <v>2.9</v>
      </c>
      <c r="S34" s="212">
        <f>'Allowed revenue -DPCR4'!G27</f>
        <v>2.9</v>
      </c>
      <c r="T34" s="212">
        <f>'Allowed revenue -DPCR4'!H27</f>
        <v>2.9</v>
      </c>
      <c r="U34" s="212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108"/>
      <c r="AQ34" s="108"/>
      <c r="AR34" s="108"/>
      <c r="AS34" s="108"/>
      <c r="AT34" s="108"/>
      <c r="AU34" s="95"/>
      <c r="AV34" s="95"/>
    </row>
    <row r="35" spans="1:48" ht="12.75">
      <c r="A35" s="95"/>
      <c r="B35" s="95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 t="s">
        <v>40</v>
      </c>
      <c r="N35" s="212"/>
      <c r="O35" s="212"/>
      <c r="P35" s="218">
        <f>P34+P33</f>
        <v>143.60458227880613</v>
      </c>
      <c r="Q35" s="218">
        <f>Q34+Q33</f>
        <v>145.4337418484306</v>
      </c>
      <c r="R35" s="218">
        <f>R34+R33</f>
        <v>147.2629014180551</v>
      </c>
      <c r="S35" s="218">
        <f>S34+S33</f>
        <v>148.81065182312196</v>
      </c>
      <c r="T35" s="218">
        <f>T34+T33</f>
        <v>150.63981139274645</v>
      </c>
      <c r="U35" s="218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219"/>
      <c r="AT35" s="95"/>
      <c r="AU35" s="95"/>
      <c r="AV35" s="95"/>
    </row>
    <row r="36" spans="1:48" ht="12.75">
      <c r="A36" s="95"/>
      <c r="B36" s="95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 t="s">
        <v>26</v>
      </c>
      <c r="N36" s="212"/>
      <c r="O36" s="212"/>
      <c r="P36" s="218">
        <f>P35*P29</f>
        <v>139.78142575496796</v>
      </c>
      <c r="Q36" s="218">
        <f>Q35*Q29</f>
        <v>134.1246747543331</v>
      </c>
      <c r="R36" s="218">
        <f>R35*R29</f>
        <v>128.6764859760842</v>
      </c>
      <c r="S36" s="218">
        <f>S35*S29</f>
        <v>123.19758488793515</v>
      </c>
      <c r="T36" s="218">
        <f>T35*T29</f>
        <v>118.15994338608289</v>
      </c>
      <c r="U36" s="218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</row>
    <row r="37" spans="1:48" ht="12.75">
      <c r="A37" s="95"/>
      <c r="B37" s="95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 t="s">
        <v>135</v>
      </c>
      <c r="N37" s="212"/>
      <c r="O37" s="212"/>
      <c r="P37" s="212"/>
      <c r="Q37" s="212"/>
      <c r="R37" s="212"/>
      <c r="S37" s="212"/>
      <c r="T37" s="218">
        <f>SUM(P36:T36)</f>
        <v>643.9401147594033</v>
      </c>
      <c r="U37" s="218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</row>
    <row r="38" spans="1:48" ht="12.75">
      <c r="A38" s="95"/>
      <c r="B38" s="95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</row>
    <row r="39" spans="1:48" ht="12.75">
      <c r="A39" s="95"/>
      <c r="B39" s="95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 t="s">
        <v>80</v>
      </c>
      <c r="N39" s="212"/>
      <c r="O39" s="218">
        <f>SUM(P39:T39)</f>
        <v>12.706850194587702</v>
      </c>
      <c r="P39" s="218">
        <f>P34*P29</f>
        <v>2.8227938708974816</v>
      </c>
      <c r="Q39" s="218">
        <f>Q34*Q29</f>
        <v>2.674493221751369</v>
      </c>
      <c r="R39" s="218">
        <f>R34*R29</f>
        <v>2.5339838189884585</v>
      </c>
      <c r="S39" s="218">
        <f>S34*S29</f>
        <v>2.4008563352015333</v>
      </c>
      <c r="T39" s="218">
        <f>T34*T29</f>
        <v>2.274722947748859</v>
      </c>
      <c r="U39" s="218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</row>
    <row r="40" spans="1:48" s="361" customFormat="1" ht="12.75">
      <c r="A40" s="360"/>
      <c r="B40" s="360"/>
      <c r="O40" s="362"/>
      <c r="P40" s="362"/>
      <c r="Q40" s="362"/>
      <c r="R40" s="362"/>
      <c r="S40" s="362"/>
      <c r="T40" s="362"/>
      <c r="U40" s="362"/>
      <c r="V40" s="360"/>
      <c r="W40" s="360"/>
      <c r="X40" s="360"/>
      <c r="Y40" s="360"/>
      <c r="Z40" s="360"/>
      <c r="AA40" s="360"/>
      <c r="AB40" s="360"/>
      <c r="AC40" s="360"/>
      <c r="AD40" s="360"/>
      <c r="AE40" s="360"/>
      <c r="AF40" s="360"/>
      <c r="AG40" s="360"/>
      <c r="AH40" s="360"/>
      <c r="AI40" s="360"/>
      <c r="AJ40" s="360"/>
      <c r="AK40" s="360"/>
      <c r="AL40" s="360"/>
      <c r="AM40" s="360"/>
      <c r="AN40" s="360"/>
      <c r="AO40" s="360"/>
      <c r="AP40" s="360"/>
      <c r="AQ40" s="360"/>
      <c r="AR40" s="360"/>
      <c r="AS40" s="360"/>
      <c r="AT40" s="360"/>
      <c r="AU40" s="360"/>
      <c r="AV40" s="360"/>
    </row>
    <row r="41" spans="1:48" s="364" customFormat="1" ht="12.75">
      <c r="A41" s="359" t="s">
        <v>214</v>
      </c>
      <c r="B41" s="363"/>
      <c r="O41" s="365"/>
      <c r="P41" s="365"/>
      <c r="Q41" s="365"/>
      <c r="R41" s="365"/>
      <c r="S41" s="365"/>
      <c r="T41" s="365"/>
      <c r="U41" s="365"/>
      <c r="V41" s="363"/>
      <c r="W41" s="363"/>
      <c r="X41" s="363"/>
      <c r="Y41" s="363"/>
      <c r="Z41" s="363"/>
      <c r="AA41" s="363"/>
      <c r="AB41" s="363"/>
      <c r="AC41" s="363"/>
      <c r="AD41" s="363"/>
      <c r="AE41" s="363"/>
      <c r="AF41" s="363"/>
      <c r="AG41" s="363"/>
      <c r="AH41" s="363"/>
      <c r="AI41" s="363"/>
      <c r="AJ41" s="363"/>
      <c r="AK41" s="363"/>
      <c r="AL41" s="363"/>
      <c r="AM41" s="363"/>
      <c r="AN41" s="363"/>
      <c r="AO41" s="363"/>
      <c r="AP41" s="363"/>
      <c r="AQ41" s="363"/>
      <c r="AR41" s="363"/>
      <c r="AS41" s="363"/>
      <c r="AT41" s="363"/>
      <c r="AU41" s="363"/>
      <c r="AV41" s="363"/>
    </row>
    <row r="42" spans="1:50" ht="12.75">
      <c r="A42" s="95"/>
      <c r="B42" s="9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248"/>
      <c r="P42" s="248"/>
      <c r="Q42" s="248"/>
      <c r="R42" s="248"/>
      <c r="S42" s="248"/>
      <c r="T42" s="248"/>
      <c r="U42" s="248"/>
      <c r="V42" s="248"/>
      <c r="W42" s="248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</row>
    <row r="43" spans="1:50" ht="25.5">
      <c r="A43" s="95"/>
      <c r="B43" s="95"/>
      <c r="C43" s="249" t="s">
        <v>333</v>
      </c>
      <c r="D43" s="250" t="s">
        <v>462</v>
      </c>
      <c r="E43" s="251" t="s">
        <v>463</v>
      </c>
      <c r="F43" s="1426" t="s">
        <v>464</v>
      </c>
      <c r="G43" s="1426"/>
      <c r="H43" s="1426"/>
      <c r="I43" s="1426"/>
      <c r="J43" s="1426"/>
      <c r="K43" s="252"/>
      <c r="L43" s="1427" t="s">
        <v>543</v>
      </c>
      <c r="M43" s="1426"/>
      <c r="N43" s="1426"/>
      <c r="O43" s="1428"/>
      <c r="P43" s="253"/>
      <c r="Q43" s="1429"/>
      <c r="R43" s="1430"/>
      <c r="S43" s="1426"/>
      <c r="T43" s="1426"/>
      <c r="U43" s="1428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</row>
    <row r="44" spans="1:50" ht="12.75">
      <c r="A44" s="95"/>
      <c r="B44" s="95"/>
      <c r="C44" s="254"/>
      <c r="D44" s="231"/>
      <c r="E44" s="255"/>
      <c r="F44" s="231" t="s">
        <v>809</v>
      </c>
      <c r="G44" s="231"/>
      <c r="H44" s="231" t="s">
        <v>803</v>
      </c>
      <c r="I44" s="231" t="s">
        <v>104</v>
      </c>
      <c r="J44" s="231" t="s">
        <v>308</v>
      </c>
      <c r="K44" s="256" t="s">
        <v>850</v>
      </c>
      <c r="L44" s="257" t="s">
        <v>809</v>
      </c>
      <c r="M44" s="231" t="s">
        <v>803</v>
      </c>
      <c r="N44" s="231" t="s">
        <v>104</v>
      </c>
      <c r="O44" s="231" t="s">
        <v>308</v>
      </c>
      <c r="P44" s="256" t="s">
        <v>850</v>
      </c>
      <c r="Q44" s="255"/>
      <c r="R44" s="226"/>
      <c r="S44" s="226"/>
      <c r="T44" s="226"/>
      <c r="U44" s="259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</row>
    <row r="45" spans="1:50" ht="12.75">
      <c r="A45" s="95"/>
      <c r="B45" s="95"/>
      <c r="C45" s="254" t="s">
        <v>21</v>
      </c>
      <c r="D45" s="260">
        <f>SUM(E22:J22)</f>
        <v>216.5786887611602</v>
      </c>
      <c r="E45" s="369" t="s">
        <v>102</v>
      </c>
      <c r="F45" s="240">
        <f>VLOOKUP($E45,'Calc-Drivers'!$B$17:$G$27,F$51,FALSE)</f>
        <v>0.37722955064930797</v>
      </c>
      <c r="G45" s="240"/>
      <c r="H45" s="240">
        <f>VLOOKUP($E45,'Calc-Drivers'!$B$17:$G$27,H$51,FALSE)</f>
        <v>0.3503423712551686</v>
      </c>
      <c r="I45" s="240">
        <f>VLOOKUP($E45,'Calc-Drivers'!$B$17:$G$27,I$51,FALSE)</f>
        <v>0.08683873351524637</v>
      </c>
      <c r="J45" s="240">
        <f>VLOOKUP($E45,'Calc-Drivers'!$B$17:$G$27,J$51,FALSE)</f>
        <v>0.10935856975767738</v>
      </c>
      <c r="K45" s="240">
        <f>VLOOKUP($E45,'Calc-Drivers'!$B$17:$G$27,K$51,FALSE)</f>
        <v>0.07623077482259967</v>
      </c>
      <c r="L45" s="262">
        <f>$D45*F45</f>
        <v>81.69988144158879</v>
      </c>
      <c r="M45" s="263">
        <f aca="true" t="shared" si="2" ref="M45:P47">$D45*H45</f>
        <v>75.87669138392</v>
      </c>
      <c r="N45" s="263">
        <f t="shared" si="2"/>
        <v>18.807419038411876</v>
      </c>
      <c r="O45" s="264">
        <f t="shared" si="2"/>
        <v>23.684735642913637</v>
      </c>
      <c r="P45" s="264">
        <f t="shared" si="2"/>
        <v>16.5099612543259</v>
      </c>
      <c r="Q45" s="265"/>
      <c r="R45" s="266"/>
      <c r="S45" s="265"/>
      <c r="T45" s="265"/>
      <c r="U45" s="26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</row>
    <row r="46" spans="1:50" ht="12.75">
      <c r="A46" s="95"/>
      <c r="B46" s="95"/>
      <c r="C46" s="254" t="s">
        <v>143</v>
      </c>
      <c r="D46" s="260">
        <f>SUM(E16:J16)</f>
        <v>253.2</v>
      </c>
      <c r="E46" s="261" t="s">
        <v>102</v>
      </c>
      <c r="F46" s="240">
        <f>VLOOKUP($E46,'Calc-Drivers'!$B$17:$G$27,F$51,FALSE)</f>
        <v>0.37722955064930797</v>
      </c>
      <c r="G46" s="240"/>
      <c r="H46" s="240">
        <f>VLOOKUP($E46,'Calc-Drivers'!$B$17:$G$27,H$51,FALSE)</f>
        <v>0.3503423712551686</v>
      </c>
      <c r="I46" s="240">
        <f>VLOOKUP($E46,'Calc-Drivers'!$B$17:$G$27,I$51,FALSE)</f>
        <v>0.08683873351524637</v>
      </c>
      <c r="J46" s="240">
        <f>VLOOKUP($E46,'Calc-Drivers'!$B$17:$G$27,J$51,FALSE)</f>
        <v>0.10935856975767738</v>
      </c>
      <c r="K46" s="240">
        <f>VLOOKUP($E46,'Calc-Drivers'!$B$17:$G$27,K$51,FALSE)</f>
        <v>0.07623077482259967</v>
      </c>
      <c r="L46" s="262">
        <f>$D46*F46</f>
        <v>95.51452222440477</v>
      </c>
      <c r="M46" s="263">
        <f t="shared" si="2"/>
        <v>88.70668840180869</v>
      </c>
      <c r="N46" s="263">
        <f t="shared" si="2"/>
        <v>21.987567326060383</v>
      </c>
      <c r="O46" s="264">
        <f t="shared" si="2"/>
        <v>27.689589862643913</v>
      </c>
      <c r="P46" s="264">
        <f t="shared" si="2"/>
        <v>19.301632185082237</v>
      </c>
      <c r="Q46" s="265"/>
      <c r="R46" s="266"/>
      <c r="S46" s="265"/>
      <c r="T46" s="265"/>
      <c r="U46" s="26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</row>
    <row r="47" spans="1:50" ht="12.75">
      <c r="A47" s="95"/>
      <c r="B47" s="95"/>
      <c r="C47" s="267" t="s">
        <v>465</v>
      </c>
      <c r="D47" s="260">
        <f>SUM(E13:J13)</f>
        <v>251.473</v>
      </c>
      <c r="E47" s="261" t="s">
        <v>466</v>
      </c>
      <c r="F47" s="240">
        <f>'Calc - WPD Opex Allocation'!AO41</f>
        <v>0.213154630585037</v>
      </c>
      <c r="H47" s="240">
        <f>'Calc - WPD Opex Allocation'!AP41</f>
        <v>0.28905190907172873</v>
      </c>
      <c r="I47" s="240">
        <f>'Calc - WPD Opex Allocation'!AQ41</f>
        <v>0.08350263340552729</v>
      </c>
      <c r="J47" s="240">
        <f>'Calc - WPD Opex Allocation'!AR41</f>
        <v>0.26055682577068884</v>
      </c>
      <c r="K47" s="240">
        <f>'Calc - WPD Opex Allocation'!AS41</f>
        <v>0.15373400116701816</v>
      </c>
      <c r="L47" s="262">
        <f>$D47*F47</f>
        <v>53.60263441711101</v>
      </c>
      <c r="M47" s="263">
        <f t="shared" si="2"/>
        <v>72.68875072999484</v>
      </c>
      <c r="N47" s="263">
        <f t="shared" si="2"/>
        <v>20.998657730388164</v>
      </c>
      <c r="O47" s="264">
        <f>$D47*J47</f>
        <v>65.52300664703243</v>
      </c>
      <c r="P47" s="264">
        <f t="shared" si="2"/>
        <v>38.65995047547356</v>
      </c>
      <c r="Q47" s="265"/>
      <c r="R47" s="266"/>
      <c r="S47" s="265"/>
      <c r="T47" s="265"/>
      <c r="U47" s="26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</row>
    <row r="48" spans="1:50" ht="12.75">
      <c r="A48" s="95"/>
      <c r="B48" s="95"/>
      <c r="C48" s="255"/>
      <c r="D48" s="260"/>
      <c r="E48" s="255"/>
      <c r="F48" s="226"/>
      <c r="G48" s="226"/>
      <c r="H48" s="226"/>
      <c r="I48" s="226"/>
      <c r="J48" s="226"/>
      <c r="K48" s="256"/>
      <c r="L48" s="257"/>
      <c r="M48" s="231"/>
      <c r="N48" s="263"/>
      <c r="O48" s="258"/>
      <c r="P48" s="258"/>
      <c r="Q48" s="268"/>
      <c r="R48" s="242"/>
      <c r="S48" s="242"/>
      <c r="T48" s="266"/>
      <c r="U48" s="259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</row>
    <row r="49" spans="1:50" ht="12.75">
      <c r="A49" s="95"/>
      <c r="B49" s="95"/>
      <c r="C49" s="267" t="s">
        <v>810</v>
      </c>
      <c r="D49" s="260">
        <f>SUM(D45:D47)</f>
        <v>721.2516887611603</v>
      </c>
      <c r="E49" s="255"/>
      <c r="F49" s="226"/>
      <c r="G49" s="226"/>
      <c r="H49" s="226"/>
      <c r="I49" s="226"/>
      <c r="J49" s="226"/>
      <c r="K49" s="256"/>
      <c r="L49" s="262">
        <f>SUM(L45:L48)</f>
        <v>230.81703808310456</v>
      </c>
      <c r="M49" s="263">
        <f>SUM(M45:M48)</f>
        <v>237.27213051572355</v>
      </c>
      <c r="N49" s="263">
        <f>SUM(N45:N48)</f>
        <v>61.793644094860426</v>
      </c>
      <c r="O49" s="264">
        <f>SUM(O45:O48)</f>
        <v>116.89733215258998</v>
      </c>
      <c r="P49" s="264">
        <f>SUM(P45:P48)</f>
        <v>74.47154391488169</v>
      </c>
      <c r="Q49" s="269"/>
      <c r="R49" s="270"/>
      <c r="S49" s="270"/>
      <c r="T49" s="270"/>
      <c r="U49" s="271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</row>
    <row r="50" spans="1:50" ht="12.75">
      <c r="A50" s="95"/>
      <c r="B50" s="95"/>
      <c r="C50" s="272"/>
      <c r="D50" s="273"/>
      <c r="E50" s="272"/>
      <c r="F50" s="273"/>
      <c r="G50" s="273"/>
      <c r="H50" s="273"/>
      <c r="I50" s="273"/>
      <c r="J50" s="273"/>
      <c r="K50" s="274"/>
      <c r="L50" s="275">
        <f>L49/SUM($L$49:$P$49)</f>
        <v>0.32002287367889787</v>
      </c>
      <c r="M50" s="275">
        <f>M49/SUM($L$49:$P$49)</f>
        <v>0.32897272091420404</v>
      </c>
      <c r="N50" s="275">
        <f>N49/SUM($L$49:$P$49)</f>
        <v>0.08567556243923494</v>
      </c>
      <c r="O50" s="275">
        <f>O49/SUM($L$49:$P$49)</f>
        <v>0.16207564429190555</v>
      </c>
      <c r="P50" s="275">
        <f>P49/SUM($L$49:$P$49)</f>
        <v>0.1032531986757575</v>
      </c>
      <c r="Q50" s="276"/>
      <c r="R50" s="276"/>
      <c r="S50" s="276"/>
      <c r="T50" s="276"/>
      <c r="U50" s="276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</row>
    <row r="51" spans="1:50" ht="12.75">
      <c r="A51" s="95"/>
      <c r="B51" s="95"/>
      <c r="C51" s="95"/>
      <c r="D51" s="95"/>
      <c r="E51" s="95"/>
      <c r="F51" s="95">
        <v>6</v>
      </c>
      <c r="G51" s="95"/>
      <c r="H51" s="95">
        <v>5</v>
      </c>
      <c r="I51" s="95">
        <v>4</v>
      </c>
      <c r="J51" s="95">
        <v>3</v>
      </c>
      <c r="K51" s="95">
        <v>2</v>
      </c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</row>
    <row r="52" spans="1:50" ht="12.75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</row>
    <row r="53" spans="1:50" ht="12.75">
      <c r="A53" s="95"/>
      <c r="B53" s="95"/>
      <c r="C53" s="95"/>
      <c r="D53" s="95"/>
      <c r="E53" s="370" t="s">
        <v>110</v>
      </c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</row>
    <row r="54" spans="1:50" ht="12.75">
      <c r="A54" s="95"/>
      <c r="B54" s="95"/>
      <c r="C54" s="95"/>
      <c r="D54" s="95"/>
      <c r="E54" s="370" t="s">
        <v>111</v>
      </c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</row>
    <row r="55" spans="1:50" ht="12.75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</row>
    <row r="56" spans="1:48" s="364" customFormat="1" ht="12.75">
      <c r="A56" s="359" t="s">
        <v>108</v>
      </c>
      <c r="B56" s="363"/>
      <c r="O56" s="365"/>
      <c r="P56" s="365"/>
      <c r="Q56" s="365"/>
      <c r="R56" s="365"/>
      <c r="S56" s="365"/>
      <c r="T56" s="365"/>
      <c r="U56" s="365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363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3"/>
      <c r="AU56" s="363"/>
      <c r="AV56" s="363"/>
    </row>
    <row r="58" spans="2:8" ht="13.5" thickBot="1">
      <c r="B58" s="1431" t="s">
        <v>215</v>
      </c>
      <c r="C58" s="1431"/>
      <c r="D58" s="1431"/>
      <c r="E58" s="1431"/>
      <c r="F58" s="1431"/>
      <c r="G58" s="1431"/>
      <c r="H58" s="1431"/>
    </row>
    <row r="59" spans="2:19" ht="13.5" thickBot="1">
      <c r="B59" s="205" t="s">
        <v>525</v>
      </c>
      <c r="C59" s="206"/>
      <c r="D59" s="206"/>
      <c r="E59" s="206"/>
      <c r="F59" s="206"/>
      <c r="G59" s="277">
        <f>'Summary of revenue'!J11</f>
        <v>164.619008</v>
      </c>
      <c r="H59" s="207">
        <f>G59/$G$64</f>
        <v>0.9442780364102313</v>
      </c>
      <c r="K59" s="213"/>
      <c r="L59" s="213"/>
      <c r="M59" s="213"/>
      <c r="N59" s="213"/>
      <c r="O59" s="213"/>
      <c r="P59" s="213"/>
      <c r="Q59" s="213"/>
      <c r="R59" s="213"/>
      <c r="S59" s="213" t="s">
        <v>543</v>
      </c>
    </row>
    <row r="60" spans="2:19" ht="13.5" thickBot="1">
      <c r="B60" s="208" t="s">
        <v>163</v>
      </c>
      <c r="C60" s="209"/>
      <c r="D60" s="209"/>
      <c r="E60" s="209"/>
      <c r="F60" s="209"/>
      <c r="G60" s="277">
        <f>'Summary of revenue'!J12</f>
        <v>-0.911997</v>
      </c>
      <c r="H60" s="207">
        <f>G60/$G$64</f>
        <v>-0.005231344465227379</v>
      </c>
      <c r="K60" s="213"/>
      <c r="L60" s="213"/>
      <c r="M60" s="213"/>
      <c r="N60" s="213"/>
      <c r="O60" s="213"/>
      <c r="P60" s="213"/>
      <c r="Q60" s="213"/>
      <c r="R60" s="213"/>
      <c r="S60" s="213"/>
    </row>
    <row r="61" spans="2:20" ht="13.5" thickBot="1">
      <c r="B61" s="208" t="s">
        <v>155</v>
      </c>
      <c r="C61" s="209"/>
      <c r="D61" s="209"/>
      <c r="E61" s="209"/>
      <c r="F61" s="209"/>
      <c r="G61" s="277">
        <f>'Summary of revenue'!J13</f>
        <v>2.502889</v>
      </c>
      <c r="H61" s="207">
        <f>G61/$G$64</f>
        <v>0.01435692717983556</v>
      </c>
      <c r="K61" s="213" t="s">
        <v>159</v>
      </c>
      <c r="L61" s="213"/>
      <c r="M61" s="213"/>
      <c r="N61" s="213"/>
      <c r="O61" s="213"/>
      <c r="P61" s="213"/>
      <c r="Q61" s="213"/>
      <c r="R61" s="213"/>
      <c r="S61" s="214">
        <f>G64</f>
        <v>174.33319600000002</v>
      </c>
      <c r="T61" s="371" t="s">
        <v>282</v>
      </c>
    </row>
    <row r="62" spans="2:20" ht="13.5" thickBot="1">
      <c r="B62" s="280" t="s">
        <v>59</v>
      </c>
      <c r="C62" s="209"/>
      <c r="D62" s="209"/>
      <c r="E62" s="209"/>
      <c r="F62" s="209"/>
      <c r="G62" s="277">
        <f>'Summary of revenue'!J21</f>
        <v>2.533296</v>
      </c>
      <c r="H62" s="207">
        <f>G62/$G$64</f>
        <v>0.014531346055285993</v>
      </c>
      <c r="K62" s="213"/>
      <c r="L62" s="213"/>
      <c r="M62" s="213"/>
      <c r="N62" s="213"/>
      <c r="O62" s="213"/>
      <c r="P62" s="213"/>
      <c r="Q62" s="213"/>
      <c r="R62" s="213"/>
      <c r="S62" s="214"/>
      <c r="T62" s="371"/>
    </row>
    <row r="63" spans="2:20" ht="15" thickBot="1">
      <c r="B63" s="208" t="s">
        <v>156</v>
      </c>
      <c r="C63" s="209"/>
      <c r="D63" s="209"/>
      <c r="E63" s="209"/>
      <c r="F63" s="209"/>
      <c r="G63" s="277">
        <f>'Summary of revenue'!J46+'Summary of revenue'!J47</f>
        <v>5.59</v>
      </c>
      <c r="H63" s="207">
        <f>G63/$G$64</f>
        <v>0.03206503481987446</v>
      </c>
      <c r="K63" s="213" t="s">
        <v>142</v>
      </c>
      <c r="L63" s="213"/>
      <c r="M63" s="213"/>
      <c r="N63" s="213"/>
      <c r="O63" s="213"/>
      <c r="P63" s="217" t="s">
        <v>781</v>
      </c>
      <c r="Q63" s="213"/>
      <c r="R63" s="213"/>
      <c r="S63" s="214">
        <f>IF(P63="Y",-G61,0)</f>
        <v>-2.502889</v>
      </c>
      <c r="T63" s="371" t="s">
        <v>282</v>
      </c>
    </row>
    <row r="64" spans="2:20" ht="15" thickBot="1">
      <c r="B64" s="210" t="s">
        <v>810</v>
      </c>
      <c r="C64" s="211"/>
      <c r="D64" s="211"/>
      <c r="E64" s="211"/>
      <c r="F64" s="211"/>
      <c r="G64" s="277">
        <f>SUM(G59:G63)</f>
        <v>174.33319600000002</v>
      </c>
      <c r="H64" s="207">
        <f>SUM(H59:H63)</f>
        <v>1</v>
      </c>
      <c r="K64" s="213" t="s">
        <v>43</v>
      </c>
      <c r="L64" s="213"/>
      <c r="M64" s="213"/>
      <c r="N64" s="213"/>
      <c r="O64" s="213"/>
      <c r="P64" s="217" t="s">
        <v>47</v>
      </c>
      <c r="Q64" s="213"/>
      <c r="R64" s="213"/>
      <c r="S64" s="214">
        <f>IF(P64="Y",-G66,0)</f>
        <v>0</v>
      </c>
      <c r="T64" s="371" t="s">
        <v>69</v>
      </c>
    </row>
    <row r="65" spans="11:19" ht="14.25">
      <c r="K65" s="213" t="s">
        <v>46</v>
      </c>
      <c r="L65" s="213"/>
      <c r="M65" s="213"/>
      <c r="N65" s="213"/>
      <c r="O65" s="213"/>
      <c r="P65" s="217" t="s">
        <v>47</v>
      </c>
      <c r="Q65" s="213"/>
      <c r="R65" s="213"/>
      <c r="S65" s="214">
        <f>IF(P65="Y",-16,0)</f>
        <v>0</v>
      </c>
    </row>
    <row r="66" spans="2:19" ht="12.75">
      <c r="B66" s="372" t="s">
        <v>70</v>
      </c>
      <c r="G66" s="209">
        <v>0</v>
      </c>
      <c r="H66" s="371" t="s">
        <v>69</v>
      </c>
      <c r="K66" s="213"/>
      <c r="L66" s="213"/>
      <c r="M66" s="213"/>
      <c r="N66" s="213"/>
      <c r="O66" s="213"/>
      <c r="P66" s="213"/>
      <c r="Q66" s="213"/>
      <c r="R66" s="213"/>
      <c r="S66" s="213">
        <f>-'Calc - WPD Opex Allocation'!I36</f>
        <v>-4.2</v>
      </c>
    </row>
    <row r="67" spans="11:19" ht="12.75">
      <c r="K67" s="213" t="s">
        <v>52</v>
      </c>
      <c r="L67" s="213"/>
      <c r="M67" s="213"/>
      <c r="N67" s="213"/>
      <c r="O67" s="213"/>
      <c r="P67" s="213"/>
      <c r="Q67" s="213"/>
      <c r="R67" s="213"/>
      <c r="S67" s="214">
        <f>S61+S63+S64+S65+S66</f>
        <v>167.63030700000002</v>
      </c>
    </row>
    <row r="68" spans="2:19" ht="12.75"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</row>
    <row r="69" spans="5:19" s="133" customFormat="1" ht="39" customHeight="1" thickBot="1">
      <c r="E69" s="1432" t="s">
        <v>109</v>
      </c>
      <c r="F69" s="1433"/>
      <c r="G69" s="1433"/>
      <c r="H69" s="1433"/>
      <c r="I69" s="1433"/>
      <c r="J69" s="1433"/>
      <c r="K69" s="1433"/>
      <c r="L69" s="1434"/>
      <c r="M69" s="1432" t="s">
        <v>458</v>
      </c>
      <c r="N69" s="1433"/>
      <c r="O69" s="1433"/>
      <c r="P69" s="1433"/>
      <c r="Q69" s="1433"/>
      <c r="R69" s="1433"/>
      <c r="S69" s="1434"/>
    </row>
    <row r="70" spans="2:19" ht="12.75">
      <c r="B70" s="222" t="s">
        <v>15</v>
      </c>
      <c r="C70" s="223"/>
      <c r="D70" s="223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227"/>
    </row>
    <row r="71" spans="2:19" ht="13.5" thickBot="1">
      <c r="B71" s="225"/>
      <c r="C71" s="226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  <c r="S71" s="227"/>
    </row>
    <row r="72" spans="2:19" ht="12.75">
      <c r="B72" s="222"/>
      <c r="C72" s="223"/>
      <c r="D72" s="223"/>
      <c r="E72" s="1422" t="s">
        <v>543</v>
      </c>
      <c r="F72" s="1423"/>
      <c r="G72" s="1423"/>
      <c r="H72" s="1423"/>
      <c r="I72" s="1423"/>
      <c r="J72" s="1423"/>
      <c r="K72" s="1423"/>
      <c r="L72" s="224"/>
      <c r="M72" s="1422" t="s">
        <v>20</v>
      </c>
      <c r="N72" s="1424"/>
      <c r="O72" s="1424"/>
      <c r="P72" s="1424"/>
      <c r="Q72" s="1424"/>
      <c r="R72" s="1423"/>
      <c r="S72" s="1425"/>
    </row>
    <row r="73" spans="2:20" ht="12.75">
      <c r="B73" s="225"/>
      <c r="C73" s="226"/>
      <c r="D73" s="226"/>
      <c r="E73" s="228" t="s">
        <v>810</v>
      </c>
      <c r="F73" s="228"/>
      <c r="G73" s="228" t="s">
        <v>809</v>
      </c>
      <c r="H73" s="228" t="s">
        <v>803</v>
      </c>
      <c r="I73" s="228" t="s">
        <v>104</v>
      </c>
      <c r="J73" s="228" t="s">
        <v>804</v>
      </c>
      <c r="K73" s="228" t="s">
        <v>79</v>
      </c>
      <c r="L73" s="228"/>
      <c r="M73" s="229" t="s">
        <v>809</v>
      </c>
      <c r="N73" s="229" t="s">
        <v>803</v>
      </c>
      <c r="O73" s="229" t="s">
        <v>104</v>
      </c>
      <c r="P73" s="231" t="s">
        <v>308</v>
      </c>
      <c r="Q73" s="228" t="s">
        <v>79</v>
      </c>
      <c r="R73" s="228"/>
      <c r="S73" s="228" t="s">
        <v>810</v>
      </c>
      <c r="T73" s="256" t="s">
        <v>850</v>
      </c>
    </row>
    <row r="74" spans="2:19" ht="12.75">
      <c r="B74" s="225"/>
      <c r="C74" s="226"/>
      <c r="D74" s="226"/>
      <c r="E74" s="225"/>
      <c r="F74" s="226"/>
      <c r="G74" s="226"/>
      <c r="H74" s="226"/>
      <c r="I74" s="226"/>
      <c r="J74" s="226"/>
      <c r="K74" s="226"/>
      <c r="L74" s="227"/>
      <c r="M74" s="230"/>
      <c r="N74" s="231"/>
      <c r="O74" s="231"/>
      <c r="P74" s="231"/>
      <c r="Q74" s="226"/>
      <c r="R74" s="226"/>
      <c r="S74" s="227"/>
    </row>
    <row r="75" spans="2:19" ht="12.75">
      <c r="B75" s="225" t="s">
        <v>342</v>
      </c>
      <c r="C75" s="226"/>
      <c r="D75" s="226"/>
      <c r="E75" s="234">
        <f>SUM(G75:K75)</f>
        <v>174.33319600000002</v>
      </c>
      <c r="F75" s="226"/>
      <c r="G75" s="235">
        <f>$S$67*L50</f>
        <v>53.64553256181588</v>
      </c>
      <c r="H75" s="235">
        <f>$S$67*M50</f>
        <v>55.14579820147335</v>
      </c>
      <c r="I75" s="235">
        <f>$S$67*N50</f>
        <v>14.361820834086624</v>
      </c>
      <c r="J75" s="235">
        <f>$S$67*(O50+P50)</f>
        <v>44.47715540262415</v>
      </c>
      <c r="K75" s="278">
        <f>S61-S67</f>
        <v>6.702888999999999</v>
      </c>
      <c r="L75" s="227"/>
      <c r="M75" s="236">
        <f>G75*100000000/'Calc-Units'!E21</f>
        <v>0.43204468939218393</v>
      </c>
      <c r="N75" s="236">
        <f>H75*100000000/'Calc-Units'!D21</f>
        <v>0.5736335905514741</v>
      </c>
      <c r="O75" s="236">
        <f>I75*100000000/'Calc-Units'!C21</f>
        <v>0.19902181877049469</v>
      </c>
      <c r="P75" s="236">
        <f>J75*100000000/'Calc-Units'!C21</f>
        <v>0.6163511203926777</v>
      </c>
      <c r="Q75" s="236">
        <f>K75*100000000/'Calc-Units'!E21</f>
        <v>0.053983015131749856</v>
      </c>
      <c r="R75" s="226"/>
      <c r="S75" s="236"/>
    </row>
    <row r="76" spans="2:19" ht="12.75">
      <c r="B76" s="225"/>
      <c r="C76" s="226"/>
      <c r="D76" s="226"/>
      <c r="E76" s="225"/>
      <c r="F76" s="226"/>
      <c r="G76" s="226"/>
      <c r="H76" s="226"/>
      <c r="I76" s="226"/>
      <c r="J76" s="226"/>
      <c r="K76" s="226"/>
      <c r="L76" s="227"/>
      <c r="M76" s="230"/>
      <c r="N76" s="231"/>
      <c r="O76" s="231"/>
      <c r="P76" s="231"/>
      <c r="Q76" s="231"/>
      <c r="R76" s="226"/>
      <c r="S76" s="227"/>
    </row>
    <row r="77" spans="2:19" ht="12.75">
      <c r="B77" s="225"/>
      <c r="C77" s="226"/>
      <c r="D77" s="226"/>
      <c r="E77" s="225"/>
      <c r="F77" s="226"/>
      <c r="G77" s="226"/>
      <c r="H77" s="226"/>
      <c r="I77" s="226"/>
      <c r="J77" s="226"/>
      <c r="K77" s="226"/>
      <c r="L77" s="227"/>
      <c r="M77" s="230"/>
      <c r="N77" s="231"/>
      <c r="O77" s="231"/>
      <c r="P77" s="231"/>
      <c r="Q77" s="231"/>
      <c r="R77" s="226"/>
      <c r="S77" s="227"/>
    </row>
    <row r="78" spans="2:19" ht="12.75">
      <c r="B78" s="225" t="s">
        <v>136</v>
      </c>
      <c r="C78" s="226"/>
      <c r="D78" s="226"/>
      <c r="E78" s="225"/>
      <c r="F78" s="226"/>
      <c r="G78" s="226"/>
      <c r="H78" s="226"/>
      <c r="I78" s="226"/>
      <c r="J78" s="226"/>
      <c r="K78" s="226"/>
      <c r="L78" s="227"/>
      <c r="M78" s="236">
        <f>M75</f>
        <v>0.43204468939218393</v>
      </c>
      <c r="N78" s="237">
        <f>N75</f>
        <v>0.5736335905514741</v>
      </c>
      <c r="O78" s="237">
        <f>O75</f>
        <v>0.19902181877049469</v>
      </c>
      <c r="P78" s="237">
        <f>P75</f>
        <v>0.6163511203926777</v>
      </c>
      <c r="Q78" s="237">
        <f>Q75</f>
        <v>0.053983015131749856</v>
      </c>
      <c r="R78" s="226"/>
      <c r="S78" s="238">
        <f>SUM(M78:Q78)</f>
        <v>1.8750342342385804</v>
      </c>
    </row>
    <row r="79" spans="2:19" ht="12.75">
      <c r="B79" s="225" t="s">
        <v>137</v>
      </c>
      <c r="C79" s="226"/>
      <c r="D79" s="226"/>
      <c r="E79" s="225"/>
      <c r="F79" s="226"/>
      <c r="G79" s="226"/>
      <c r="H79" s="226"/>
      <c r="I79" s="226"/>
      <c r="J79" s="226"/>
      <c r="K79" s="226"/>
      <c r="L79" s="227"/>
      <c r="M79" s="236"/>
      <c r="N79" s="237"/>
      <c r="O79" s="237"/>
      <c r="P79" s="231"/>
      <c r="Q79" s="237"/>
      <c r="R79" s="226"/>
      <c r="S79" s="238"/>
    </row>
    <row r="80" spans="2:19" ht="12.75">
      <c r="B80" s="225" t="s">
        <v>138</v>
      </c>
      <c r="C80" s="226"/>
      <c r="D80" s="226"/>
      <c r="E80" s="225"/>
      <c r="F80" s="226"/>
      <c r="G80" s="226"/>
      <c r="H80" s="226"/>
      <c r="I80" s="226"/>
      <c r="J80" s="226"/>
      <c r="K80" s="226"/>
      <c r="L80" s="227"/>
      <c r="M80" s="236"/>
      <c r="N80" s="231"/>
      <c r="O80" s="231"/>
      <c r="P80" s="231"/>
      <c r="Q80" s="237"/>
      <c r="R80" s="226"/>
      <c r="S80" s="238"/>
    </row>
    <row r="81" spans="2:19" ht="12.75">
      <c r="B81" s="225"/>
      <c r="C81" s="226"/>
      <c r="D81" s="226"/>
      <c r="E81" s="225"/>
      <c r="F81" s="226"/>
      <c r="G81" s="226"/>
      <c r="H81" s="226"/>
      <c r="I81" s="226"/>
      <c r="J81" s="226"/>
      <c r="K81" s="226"/>
      <c r="L81" s="227"/>
      <c r="M81" s="230"/>
      <c r="N81" s="231"/>
      <c r="O81" s="231"/>
      <c r="P81" s="231"/>
      <c r="Q81" s="231"/>
      <c r="R81" s="226"/>
      <c r="S81" s="227"/>
    </row>
    <row r="82" spans="2:20" ht="12.75">
      <c r="B82" s="225" t="s">
        <v>136</v>
      </c>
      <c r="C82" s="226"/>
      <c r="D82" s="226"/>
      <c r="E82" s="225"/>
      <c r="F82" s="226"/>
      <c r="G82" s="226"/>
      <c r="H82" s="226"/>
      <c r="I82" s="226"/>
      <c r="J82" s="226"/>
      <c r="K82" s="226"/>
      <c r="L82" s="227"/>
      <c r="M82" s="366">
        <f>M78/$S78</f>
        <v>0.23041962728090132</v>
      </c>
      <c r="N82" s="366">
        <f>N78/$S78</f>
        <v>0.3059323291686015</v>
      </c>
      <c r="O82" s="366">
        <f>O78/$S78</f>
        <v>0.10614303202379347</v>
      </c>
      <c r="P82" s="366">
        <f>$P78/$S78*$O50/($O50+$P50)</f>
        <v>0.2007947168663642</v>
      </c>
      <c r="Q82" s="366">
        <f>Q78/$S78</f>
        <v>0.028790415740687234</v>
      </c>
      <c r="R82" s="367"/>
      <c r="S82" s="368">
        <f>SUM(M82:Q82)+T82</f>
        <v>0.9999999999999999</v>
      </c>
      <c r="T82">
        <f>$P78/$S78*$P50/($O50+$P50)</f>
        <v>0.1279198789196522</v>
      </c>
    </row>
    <row r="83" spans="2:19" ht="12.75">
      <c r="B83" s="225" t="s">
        <v>137</v>
      </c>
      <c r="C83" s="226"/>
      <c r="D83" s="226"/>
      <c r="E83" s="225"/>
      <c r="F83" s="226"/>
      <c r="G83" s="226"/>
      <c r="H83" s="226"/>
      <c r="I83" s="226"/>
      <c r="J83" s="226"/>
      <c r="K83" s="226"/>
      <c r="L83" s="227"/>
      <c r="M83" s="239"/>
      <c r="N83" s="239"/>
      <c r="O83" s="239"/>
      <c r="P83" s="239"/>
      <c r="Q83" s="239"/>
      <c r="R83" s="242"/>
      <c r="S83" s="241"/>
    </row>
    <row r="84" spans="2:19" ht="13.5" thickBot="1">
      <c r="B84" s="243" t="s">
        <v>138</v>
      </c>
      <c r="C84" s="244"/>
      <c r="D84" s="244"/>
      <c r="E84" s="243"/>
      <c r="F84" s="244"/>
      <c r="G84" s="244"/>
      <c r="H84" s="244"/>
      <c r="I84" s="244"/>
      <c r="J84" s="244"/>
      <c r="K84" s="244"/>
      <c r="L84" s="245"/>
      <c r="M84" s="239"/>
      <c r="N84" s="239"/>
      <c r="O84" s="239"/>
      <c r="P84" s="239"/>
      <c r="Q84" s="239"/>
      <c r="R84" s="246"/>
      <c r="S84" s="241"/>
    </row>
  </sheetData>
  <sheetProtection/>
  <mergeCells count="8">
    <mergeCell ref="E72:K72"/>
    <mergeCell ref="M72:S72"/>
    <mergeCell ref="F43:J43"/>
    <mergeCell ref="L43:O43"/>
    <mergeCell ref="Q43:U43"/>
    <mergeCell ref="B58:H58"/>
    <mergeCell ref="E69:L69"/>
    <mergeCell ref="M69:S69"/>
  </mergeCells>
  <hyperlinks>
    <hyperlink ref="B2" location="Inputs!A1" display="Index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62"/>
  <sheetViews>
    <sheetView zoomScale="70" zoomScaleNormal="70" zoomScalePageLayoutView="0" workbookViewId="0" topLeftCell="A1">
      <selection activeCell="L6" sqref="L6"/>
    </sheetView>
  </sheetViews>
  <sheetFormatPr defaultColWidth="9.140625" defaultRowHeight="12.75"/>
  <cols>
    <col min="1" max="2" width="9.421875" style="126" customWidth="1"/>
    <col min="3" max="3" width="58.00390625" style="126" bestFit="1" customWidth="1"/>
    <col min="4" max="4" width="14.8515625" style="126" bestFit="1" customWidth="1"/>
    <col min="5" max="6" width="7.7109375" style="126" bestFit="1" customWidth="1"/>
    <col min="7" max="7" width="7.7109375" style="126" customWidth="1"/>
    <col min="8" max="8" width="6.421875" style="126" bestFit="1" customWidth="1"/>
    <col min="9" max="9" width="11.8515625" style="126" customWidth="1"/>
    <col min="10" max="10" width="11.8515625" style="149" customWidth="1"/>
    <col min="11" max="11" width="7.7109375" style="126" customWidth="1"/>
    <col min="12" max="12" width="20.421875" style="126" bestFit="1" customWidth="1"/>
    <col min="13" max="13" width="11.421875" style="126" customWidth="1"/>
    <col min="14" max="14" width="18.8515625" style="126" customWidth="1"/>
    <col min="15" max="15" width="7.421875" style="126" customWidth="1"/>
    <col min="16" max="16" width="8.00390625" style="126" bestFit="1" customWidth="1"/>
    <col min="17" max="18" width="8.00390625" style="126" customWidth="1"/>
    <col min="19" max="19" width="17.8515625" style="126" customWidth="1"/>
    <col min="20" max="20" width="7.7109375" style="126" bestFit="1" customWidth="1"/>
    <col min="21" max="21" width="7.7109375" style="126" customWidth="1"/>
    <col min="22" max="23" width="18.140625" style="126" customWidth="1"/>
    <col min="24" max="24" width="24.28125" style="126" customWidth="1"/>
    <col min="25" max="25" width="13.140625" style="126" customWidth="1"/>
    <col min="26" max="26" width="10.28125" style="126" customWidth="1"/>
    <col min="27" max="27" width="7.28125" style="126" customWidth="1"/>
    <col min="28" max="28" width="8.7109375" style="126" customWidth="1"/>
    <col min="29" max="29" width="6.8515625" style="126" customWidth="1"/>
    <col min="30" max="30" width="27.00390625" style="126" customWidth="1"/>
    <col min="31" max="34" width="13.7109375" style="126" customWidth="1"/>
    <col min="35" max="35" width="15.00390625" style="126" customWidth="1"/>
    <col min="36" max="36" width="16.421875" style="126" customWidth="1"/>
    <col min="37" max="37" width="26.7109375" style="126" customWidth="1"/>
    <col min="38" max="38" width="7.7109375" style="126" bestFit="1" customWidth="1"/>
    <col min="39" max="39" width="7.7109375" style="126" customWidth="1"/>
    <col min="40" max="40" width="23.7109375" style="126" customWidth="1"/>
    <col min="41" max="41" width="12.140625" style="126" customWidth="1"/>
    <col min="42" max="42" width="10.8515625" style="126" customWidth="1"/>
    <col min="43" max="43" width="13.421875" style="126" customWidth="1"/>
    <col min="44" max="45" width="9.421875" style="126" customWidth="1"/>
    <col min="46" max="46" width="23.421875" style="126" customWidth="1"/>
    <col min="47" max="47" width="6.8515625" style="126" bestFit="1" customWidth="1"/>
    <col min="48" max="49" width="7.28125" style="126" customWidth="1"/>
    <col min="50" max="50" width="23.421875" style="126" bestFit="1" customWidth="1"/>
    <col min="51" max="51" width="4.28125" style="126" customWidth="1"/>
    <col min="52" max="52" width="22.7109375" style="126" bestFit="1" customWidth="1"/>
    <col min="53" max="53" width="24.140625" style="126" customWidth="1"/>
    <col min="54" max="16384" width="9.140625" style="126" customWidth="1"/>
  </cols>
  <sheetData>
    <row r="1" ht="12.75">
      <c r="A1" s="390" t="s">
        <v>775</v>
      </c>
    </row>
    <row r="2" spans="4:44" s="355" customFormat="1" ht="63.75" customHeight="1" thickBot="1">
      <c r="D2" s="1459" t="s">
        <v>7</v>
      </c>
      <c r="E2" s="1459"/>
      <c r="F2" s="1459"/>
      <c r="G2" s="1459"/>
      <c r="H2" s="1459"/>
      <c r="I2" s="1459"/>
      <c r="J2" s="356"/>
      <c r="L2" s="1459" t="s">
        <v>8</v>
      </c>
      <c r="M2" s="1459"/>
      <c r="N2" s="1459"/>
      <c r="O2" s="1459"/>
      <c r="P2" s="1459"/>
      <c r="S2" s="1459" t="s">
        <v>82</v>
      </c>
      <c r="T2" s="1459"/>
      <c r="U2" s="1459"/>
      <c r="V2" s="1459"/>
      <c r="Y2" s="1459" t="s">
        <v>83</v>
      </c>
      <c r="Z2" s="1459"/>
      <c r="AA2" s="1459"/>
      <c r="AB2" s="1459"/>
      <c r="AE2" s="1459" t="s">
        <v>340</v>
      </c>
      <c r="AF2" s="1459"/>
      <c r="AG2" s="1459"/>
      <c r="AH2" s="1459"/>
      <c r="AJ2" s="1459" t="s">
        <v>9</v>
      </c>
      <c r="AK2" s="1459"/>
      <c r="AL2" s="1459"/>
      <c r="AM2" s="1459"/>
      <c r="AN2" s="1459"/>
      <c r="AO2" s="1459"/>
      <c r="AP2" s="1459"/>
      <c r="AQ2" s="1459"/>
      <c r="AR2" s="1459"/>
    </row>
    <row r="3" spans="1:53" s="95" customFormat="1" ht="24" customHeight="1">
      <c r="A3" s="90"/>
      <c r="B3" s="91"/>
      <c r="C3" s="91"/>
      <c r="D3" s="165"/>
      <c r="E3" s="1438" t="s">
        <v>395</v>
      </c>
      <c r="F3" s="1439"/>
      <c r="G3" s="1439"/>
      <c r="H3" s="1439"/>
      <c r="I3" s="1440"/>
      <c r="J3" s="142"/>
      <c r="K3" s="92"/>
      <c r="L3" s="1443" t="s">
        <v>121</v>
      </c>
      <c r="M3" s="1444"/>
      <c r="N3" s="1444"/>
      <c r="O3" s="1444"/>
      <c r="P3" s="1445"/>
      <c r="Q3" s="93"/>
      <c r="R3" s="93"/>
      <c r="S3" s="1443" t="s">
        <v>370</v>
      </c>
      <c r="T3" s="1444"/>
      <c r="U3" s="1444"/>
      <c r="V3" s="1445"/>
      <c r="W3" s="159"/>
      <c r="X3" s="91"/>
      <c r="Y3" s="1451" t="s">
        <v>396</v>
      </c>
      <c r="Z3" s="1452"/>
      <c r="AA3" s="1452"/>
      <c r="AB3" s="1453"/>
      <c r="AC3" s="94"/>
      <c r="AD3" s="159"/>
      <c r="AE3" s="1441" t="s">
        <v>523</v>
      </c>
      <c r="AF3" s="1442"/>
      <c r="AG3" s="1442"/>
      <c r="AH3" s="1442"/>
      <c r="AI3" s="196"/>
      <c r="AJ3" s="1457" t="s">
        <v>120</v>
      </c>
      <c r="AK3" s="1455"/>
      <c r="AL3" s="1456"/>
      <c r="AM3" s="93"/>
      <c r="AN3" s="93"/>
      <c r="AO3" s="1458" t="s">
        <v>524</v>
      </c>
      <c r="AP3" s="1452"/>
      <c r="AQ3" s="1452"/>
      <c r="AR3" s="1453"/>
      <c r="AS3" s="201"/>
      <c r="AT3" s="94"/>
      <c r="AU3" s="1454" t="s">
        <v>103</v>
      </c>
      <c r="AV3" s="1455"/>
      <c r="AW3" s="1455"/>
      <c r="AX3" s="1456"/>
      <c r="AZ3" s="96"/>
      <c r="BA3" s="96"/>
    </row>
    <row r="4" spans="1:53" s="133" customFormat="1" ht="63.75">
      <c r="A4" s="127"/>
      <c r="B4" s="128"/>
      <c r="C4" s="128"/>
      <c r="D4" s="131" t="s">
        <v>1</v>
      </c>
      <c r="E4" s="1436" t="s">
        <v>3</v>
      </c>
      <c r="F4" s="1437"/>
      <c r="G4" s="1437"/>
      <c r="H4" s="1437"/>
      <c r="I4" s="132" t="s">
        <v>2</v>
      </c>
      <c r="J4" s="143"/>
      <c r="K4" s="128"/>
      <c r="L4" s="152" t="s">
        <v>128</v>
      </c>
      <c r="M4" s="1447" t="s">
        <v>122</v>
      </c>
      <c r="N4" s="1448"/>
      <c r="O4" s="1448"/>
      <c r="P4" s="1449"/>
      <c r="Q4" s="98"/>
      <c r="R4" s="129"/>
      <c r="S4" s="168"/>
      <c r="T4" s="169"/>
      <c r="U4" s="169"/>
      <c r="V4" s="170"/>
      <c r="W4" s="128"/>
      <c r="X4" s="129"/>
      <c r="Y4" s="168"/>
      <c r="Z4" s="169"/>
      <c r="AA4" s="169"/>
      <c r="AB4" s="170"/>
      <c r="AC4" s="129"/>
      <c r="AD4" s="129"/>
      <c r="AE4" s="168"/>
      <c r="AF4" s="169"/>
      <c r="AG4" s="169"/>
      <c r="AH4" s="170"/>
      <c r="AI4" s="129"/>
      <c r="AJ4" s="86" t="s">
        <v>34</v>
      </c>
      <c r="AK4" s="129" t="s">
        <v>233</v>
      </c>
      <c r="AL4" s="130" t="s">
        <v>232</v>
      </c>
      <c r="AM4" s="128"/>
      <c r="AN4" s="128"/>
      <c r="AO4" s="333" t="s">
        <v>809</v>
      </c>
      <c r="AP4" s="291" t="s">
        <v>803</v>
      </c>
      <c r="AQ4" s="291" t="s">
        <v>104</v>
      </c>
      <c r="AR4" s="163" t="s">
        <v>308</v>
      </c>
      <c r="AS4" s="163" t="s">
        <v>850</v>
      </c>
      <c r="AT4" s="129"/>
      <c r="AU4" s="333" t="s">
        <v>809</v>
      </c>
      <c r="AV4" s="291" t="s">
        <v>803</v>
      </c>
      <c r="AW4" s="291" t="s">
        <v>104</v>
      </c>
      <c r="AX4" s="334" t="s">
        <v>804</v>
      </c>
      <c r="AZ4" s="328"/>
      <c r="BA4" s="134"/>
    </row>
    <row r="5" spans="1:53" s="133" customFormat="1" ht="38.25">
      <c r="A5" s="128"/>
      <c r="B5" s="128"/>
      <c r="C5" s="128"/>
      <c r="D5" s="131"/>
      <c r="E5" s="129" t="s">
        <v>809</v>
      </c>
      <c r="F5" s="129" t="s">
        <v>803</v>
      </c>
      <c r="G5" s="129" t="s">
        <v>104</v>
      </c>
      <c r="H5" s="129" t="s">
        <v>804</v>
      </c>
      <c r="I5" s="132"/>
      <c r="J5" s="143"/>
      <c r="K5" s="128"/>
      <c r="L5" s="163"/>
      <c r="M5" s="164" t="s">
        <v>809</v>
      </c>
      <c r="N5" s="163" t="s">
        <v>803</v>
      </c>
      <c r="O5" s="163" t="s">
        <v>104</v>
      </c>
      <c r="P5" s="163" t="s">
        <v>308</v>
      </c>
      <c r="Q5" s="163" t="s">
        <v>850</v>
      </c>
      <c r="R5" s="129"/>
      <c r="S5" s="167" t="s">
        <v>809</v>
      </c>
      <c r="T5" s="160" t="s">
        <v>803</v>
      </c>
      <c r="U5" s="160" t="s">
        <v>104</v>
      </c>
      <c r="V5" s="163" t="s">
        <v>308</v>
      </c>
      <c r="W5" s="163" t="s">
        <v>850</v>
      </c>
      <c r="X5" s="129"/>
      <c r="Y5" s="285" t="s">
        <v>809</v>
      </c>
      <c r="Z5" s="286" t="s">
        <v>803</v>
      </c>
      <c r="AA5" s="286" t="s">
        <v>104</v>
      </c>
      <c r="AB5" s="163" t="s">
        <v>308</v>
      </c>
      <c r="AC5" s="163" t="s">
        <v>850</v>
      </c>
      <c r="AD5" s="129"/>
      <c r="AE5" s="285" t="s">
        <v>809</v>
      </c>
      <c r="AF5" s="286" t="s">
        <v>803</v>
      </c>
      <c r="AG5" s="286" t="s">
        <v>104</v>
      </c>
      <c r="AH5" s="163" t="s">
        <v>308</v>
      </c>
      <c r="AI5" s="129"/>
      <c r="AJ5" s="290"/>
      <c r="AK5" s="291"/>
      <c r="AL5" s="170"/>
      <c r="AM5" s="128"/>
      <c r="AN5" s="128"/>
      <c r="AO5" s="333"/>
      <c r="AP5" s="291"/>
      <c r="AQ5" s="291"/>
      <c r="AR5" s="334"/>
      <c r="AS5" s="129"/>
      <c r="AT5" s="129"/>
      <c r="AU5" s="333"/>
      <c r="AV5" s="291"/>
      <c r="AW5" s="291"/>
      <c r="AX5" s="334"/>
      <c r="AZ5" s="328"/>
      <c r="BA5" s="134"/>
    </row>
    <row r="6" spans="1:53" s="95" customFormat="1" ht="51" customHeight="1">
      <c r="A6" s="115" t="s">
        <v>105</v>
      </c>
      <c r="B6" s="105" t="s">
        <v>344</v>
      </c>
      <c r="C6" s="138" t="s">
        <v>323</v>
      </c>
      <c r="D6" s="152">
        <f>'RRP 1.3'!D$12</f>
        <v>-0.5000000000000018</v>
      </c>
      <c r="E6" s="152">
        <f>'RRP 2.4'!L13+'RRP 2.4'!L14+'RRP 2.4'!L18+'RRP 2.4'!L19</f>
        <v>4.7</v>
      </c>
      <c r="F6" s="152">
        <f>'RRP 2.4'!L12+'RRP 2.4'!L17-'Calc - WPD Opex Allocation'!G6</f>
        <v>3.8</v>
      </c>
      <c r="G6" s="152">
        <v>0</v>
      </c>
      <c r="H6" s="152">
        <f>'RRP 2.4'!L11+'RRP 2.4'!L16+'RRP 2.4'!L24</f>
        <v>-9</v>
      </c>
      <c r="I6" s="152">
        <f aca="true" t="shared" si="0" ref="I6:I39">D6-E6-F6-G6-H6</f>
        <v>0</v>
      </c>
      <c r="J6" s="150"/>
      <c r="K6" s="98"/>
      <c r="L6" s="152" t="s">
        <v>198</v>
      </c>
      <c r="M6" s="283">
        <f>IF(ISERROR(VLOOKUP($L6,'Calc-Drivers'!$B$17:$G$27,M$42,FALSE))," ",VLOOKUP($L6,'Calc-Drivers'!$B$17:$G$27,M$42,FALSE))</f>
        <v>0.22063382481052818</v>
      </c>
      <c r="N6" s="283">
        <f>IF(ISERROR(VLOOKUP($L6,'Calc-Drivers'!$B$17:$G$27,N$42,FALSE))," ",VLOOKUP($L6,'Calc-Drivers'!$B$17:$G$27,N$42,FALSE))</f>
        <v>0.27826178252589195</v>
      </c>
      <c r="O6" s="283">
        <f>IF(ISERROR(VLOOKUP($L6,'Calc-Drivers'!$B$17:$G$27,O$42,FALSE))," ",VLOOKUP($L6,'Calc-Drivers'!$B$17:$G$27,O$42,FALSE))</f>
        <v>0.06810256034239837</v>
      </c>
      <c r="P6" s="283">
        <f>IF(ISERROR(VLOOKUP($L6,'Calc-Drivers'!$B$17:$G$27,P$42,FALSE))," ",VLOOKUP($L6,'Calc-Drivers'!$B$17:$G$27,P$42,FALSE))</f>
        <v>0.2723245981969643</v>
      </c>
      <c r="Q6" s="283">
        <f>IF(ISERROR(VLOOKUP($L6,'Calc-Drivers'!$B$17:$G$27,Q$42,FALSE))," ",VLOOKUP($L6,'Calc-Drivers'!$B$17:$G$27,Q$42,FALSE))</f>
        <v>0.1606772341242173</v>
      </c>
      <c r="R6" s="100"/>
      <c r="S6" s="175">
        <f aca="true" t="shared" si="1" ref="S6:S38">IF(ISERROR($I6*M6)," ",$I6*M6)</f>
        <v>0</v>
      </c>
      <c r="T6" s="175">
        <f aca="true" t="shared" si="2" ref="T6:T38">IF(ISERROR($I6*N6)," ",$I6*N6)</f>
        <v>0</v>
      </c>
      <c r="U6" s="175">
        <f aca="true" t="shared" si="3" ref="U6:U38">IF(ISERROR($I6*O6)," ",$I6*O6)</f>
        <v>0</v>
      </c>
      <c r="V6" s="171">
        <f aca="true" t="shared" si="4" ref="V6:W38">IF(ISERROR($I6*P6)," ",$I6*P6)</f>
        <v>0</v>
      </c>
      <c r="W6" s="171">
        <f t="shared" si="4"/>
        <v>0</v>
      </c>
      <c r="X6" s="96"/>
      <c r="Y6" s="101">
        <f aca="true" t="shared" si="5" ref="Y6:Y38">IF($L6="Do not allocate"," ",S6+E6)</f>
        <v>4.7</v>
      </c>
      <c r="Z6" s="101">
        <f aca="true" t="shared" si="6" ref="Z6:Z38">IF($L6="Do not allocate"," ",T6+F6)</f>
        <v>3.8</v>
      </c>
      <c r="AA6" s="101">
        <f aca="true" t="shared" si="7" ref="AA6:AA38">IF($L6="Do not allocate"," ",U6+G6)</f>
        <v>0</v>
      </c>
      <c r="AB6" s="172">
        <f>IF($L6="Do not allocate"," ",($H6*P6/($P6+$Q6)+V6))</f>
        <v>-5.660302568776877</v>
      </c>
      <c r="AC6" s="172">
        <f>IF($L6="Do not allocate"," ",($H6*Q6/($P6+$Q6)+W6))</f>
        <v>-3.339697431223123</v>
      </c>
      <c r="AD6" s="102"/>
      <c r="AE6" s="103">
        <f>IF(ISERROR(Y6*100000000/'Calc-Units'!$E$21)," ",Y6*100000000/'Calc-Units'!$E$21)</f>
        <v>0.037852360544718015</v>
      </c>
      <c r="AF6" s="103">
        <f>IF(ISERROR(Z6*100000000/'Calc-Units'!$D$21)," ",Z6*100000000/'Calc-Units'!$D$21)</f>
        <v>0.039528082196430385</v>
      </c>
      <c r="AG6" s="103">
        <f>IF(ISERROR(AA6*100000000/'Calc-Units'!$C$21)," ",AA6*100000000/'Calc-Units'!$C$21)</f>
        <v>0</v>
      </c>
      <c r="AH6" s="287">
        <f>IF(ISERROR(AB6*100000000/'Calc-Units'!$C$21)," ",AB6*100000000/'Calc-Units'!$C$21)</f>
        <v>-0.07843878050306573</v>
      </c>
      <c r="AI6" s="104"/>
      <c r="AJ6" s="97">
        <v>1</v>
      </c>
      <c r="AK6" s="98">
        <f aca="true" t="shared" si="8" ref="AK6:AK38">AJ6*D6</f>
        <v>-0.5000000000000018</v>
      </c>
      <c r="AL6" s="99">
        <f aca="true" t="shared" si="9" ref="AL6:AL38">D6*(1-AJ6)</f>
        <v>0</v>
      </c>
      <c r="AM6" s="98"/>
      <c r="AN6" s="98"/>
      <c r="AO6" s="101">
        <f>IF(ISERROR(Y6*(1-$AJ6))," ",Y6*(1-$AJ6))</f>
        <v>0</v>
      </c>
      <c r="AP6" s="101">
        <f>IF(ISERROR(Z6*(1-$AJ6))," ",Z6*(1-$AJ6))</f>
        <v>0</v>
      </c>
      <c r="AQ6" s="101">
        <f>IF(ISERROR(AA6*(1-$AJ6))," ",AA6*(1-$AJ6))</f>
        <v>0</v>
      </c>
      <c r="AR6" s="172">
        <f>IF(ISERROR(AB6*(1-$AJ6))," ",AB6*(1-$AJ6))</f>
        <v>0</v>
      </c>
      <c r="AS6" s="172">
        <f>IF(ISERROR(AC6*(1-$AJ6))," ",AC6*(1-$AJ6))</f>
        <v>0</v>
      </c>
      <c r="AT6" s="104"/>
      <c r="AU6" s="331">
        <f>IF(ISERROR(AO6*100000000/'Calc-Units'!$E$21)," ",AO6*100000000/'Calc-Units'!$E$21)</f>
        <v>0</v>
      </c>
      <c r="AV6" s="331">
        <f>IF(ISERROR(AP6*100000000/'Calc-Units'!$D$21)," ",AP6*100000000/'Calc-Units'!$D$21)</f>
        <v>0</v>
      </c>
      <c r="AW6" s="331">
        <f>IF(ISERROR(AQ6*100000000/'Calc-Units'!$C$21)," ",AQ6*100000000/'Calc-Units'!$C$21)</f>
        <v>0</v>
      </c>
      <c r="AX6" s="332">
        <f>IF(ISERROR(AR6*100000000/'Calc-Units'!$C$21)," ",AR6*100000000/'Calc-Units'!$C$21)</f>
        <v>0</v>
      </c>
      <c r="AZ6" s="108"/>
      <c r="BA6" s="96"/>
    </row>
    <row r="7" spans="1:53" s="95" customFormat="1" ht="12.75">
      <c r="A7" s="113"/>
      <c r="B7" s="105"/>
      <c r="C7" s="139" t="s">
        <v>179</v>
      </c>
      <c r="D7" s="151">
        <f>'RRP 1.3'!E$12</f>
        <v>32.3</v>
      </c>
      <c r="E7" s="183">
        <f>SUM('RRP 2.4'!G44:G55)+'RRP 2.4'!G71+'RRP 2.4'!H71</f>
        <v>8.5</v>
      </c>
      <c r="F7" s="151">
        <f>SUM('RRP 2.4'!G38:G40)+'RRP 2.4'!F71</f>
        <v>14.299999999999999</v>
      </c>
      <c r="G7" s="151">
        <f>'RRP 2.4'!G41+'RRP 2.4'!G42+'RRP 2.4'!G43</f>
        <v>4.2</v>
      </c>
      <c r="H7" s="151">
        <f>SUM('RRP 2.4'!G31:G37)+'RRP 2.4'!E71</f>
        <v>5.199999999999999</v>
      </c>
      <c r="I7" s="151">
        <f t="shared" si="0"/>
        <v>0.09999999999999876</v>
      </c>
      <c r="J7" s="150"/>
      <c r="K7" s="98"/>
      <c r="L7" s="151" t="s">
        <v>198</v>
      </c>
      <c r="M7" s="166">
        <f>IF(ISERROR(VLOOKUP($L7,'Calc-Drivers'!$B$17:$G$27,M$42,FALSE))," ",VLOOKUP($L7,'Calc-Drivers'!$B$17:$G$27,M$42,FALSE))</f>
        <v>0.22063382481052818</v>
      </c>
      <c r="N7" s="166">
        <f>IF(ISERROR(VLOOKUP($L7,'Calc-Drivers'!$B$17:$G$27,N$42,FALSE))," ",VLOOKUP($L7,'Calc-Drivers'!$B$17:$G$27,N$42,FALSE))</f>
        <v>0.27826178252589195</v>
      </c>
      <c r="O7" s="166">
        <f>IF(ISERROR(VLOOKUP($L7,'Calc-Drivers'!$B$17:$G$27,O$42,FALSE))," ",VLOOKUP($L7,'Calc-Drivers'!$B$17:$G$27,O$42,FALSE))</f>
        <v>0.06810256034239837</v>
      </c>
      <c r="P7" s="166">
        <f>IF(ISERROR(VLOOKUP($L7,'Calc-Drivers'!$B$17:$G$27,P$42,FALSE))," ",VLOOKUP($L7,'Calc-Drivers'!$B$17:$G$27,P$42,FALSE))</f>
        <v>0.2723245981969643</v>
      </c>
      <c r="Q7" s="166">
        <f>IF(ISERROR(VLOOKUP($L7,'Calc-Drivers'!$B$17:$G$27,Q$42,FALSE))," ",VLOOKUP($L7,'Calc-Drivers'!$B$17:$G$27,Q$42,FALSE))</f>
        <v>0.1606772341242173</v>
      </c>
      <c r="R7" s="100"/>
      <c r="S7" s="101">
        <f t="shared" si="1"/>
        <v>0.022063382481052544</v>
      </c>
      <c r="T7" s="101">
        <f t="shared" si="2"/>
        <v>0.02782617825258885</v>
      </c>
      <c r="U7" s="101">
        <f t="shared" si="3"/>
        <v>0.006810256034239752</v>
      </c>
      <c r="V7" s="172">
        <f t="shared" si="4"/>
        <v>0.027232459819696093</v>
      </c>
      <c r="W7" s="172">
        <f t="shared" si="4"/>
        <v>0.01606772341242153</v>
      </c>
      <c r="X7" s="96"/>
      <c r="Y7" s="101">
        <f t="shared" si="5"/>
        <v>8.522063382481052</v>
      </c>
      <c r="Z7" s="101">
        <f t="shared" si="6"/>
        <v>14.327826178252588</v>
      </c>
      <c r="AA7" s="101">
        <f t="shared" si="7"/>
        <v>4.20681025603424</v>
      </c>
      <c r="AB7" s="172">
        <f aca="true" t="shared" si="10" ref="AB7:AC38">IF($L7="Do not allocate"," ",($H7*P7/($P7+$Q7)+V7))</f>
        <v>3.2976294995574467</v>
      </c>
      <c r="AC7" s="172">
        <f t="shared" si="10"/>
        <v>1.9456706836746702</v>
      </c>
      <c r="AD7" s="102"/>
      <c r="AE7" s="103">
        <f>IF(ISERROR(Y7*100000000/'Calc-Units'!$E$21)," ",Y7*100000000/'Calc-Units'!$E$21)</f>
        <v>0.06863408845502382</v>
      </c>
      <c r="AF7" s="103">
        <f>IF(ISERROR(Z7*100000000/'Calc-Units'!$D$21)," ",Z7*100000000/'Calc-Units'!$D$21)</f>
        <v>0.14903986601845667</v>
      </c>
      <c r="AG7" s="103">
        <f>IF(ISERROR(AA7*100000000/'Calc-Units'!$C$21)," ",AA7*100000000/'Calc-Units'!$C$21)</f>
        <v>0.05829671864386211</v>
      </c>
      <c r="AH7" s="287">
        <f>IF(ISERROR(AB7*100000000/'Calc-Units'!$C$21)," ",AB7*100000000/'Calc-Units'!$C$21)</f>
        <v>0.04569756357602538</v>
      </c>
      <c r="AI7" s="104"/>
      <c r="AJ7" s="97">
        <v>1</v>
      </c>
      <c r="AK7" s="98">
        <f t="shared" si="8"/>
        <v>32.3</v>
      </c>
      <c r="AL7" s="99">
        <f t="shared" si="9"/>
        <v>0</v>
      </c>
      <c r="AM7" s="98"/>
      <c r="AN7" s="98"/>
      <c r="AO7" s="101">
        <f aca="true" t="shared" si="11" ref="AO7:AO38">IF(ISERROR(Y7*(1-$AJ7))," ",Y7*(1-$AJ7))</f>
        <v>0</v>
      </c>
      <c r="AP7" s="101">
        <f aca="true" t="shared" si="12" ref="AP7:AP38">IF(ISERROR(Z7*(1-$AJ7))," ",Z7*(1-$AJ7))</f>
        <v>0</v>
      </c>
      <c r="AQ7" s="101">
        <f aca="true" t="shared" si="13" ref="AQ7:AQ38">IF(ISERROR(AA7*(1-$AJ7))," ",AA7*(1-$AJ7))</f>
        <v>0</v>
      </c>
      <c r="AR7" s="172">
        <f aca="true" t="shared" si="14" ref="AR7:AS38">IF(ISERROR(AB7*(1-$AJ7))," ",AB7*(1-$AJ7))</f>
        <v>0</v>
      </c>
      <c r="AS7" s="172">
        <f t="shared" si="14"/>
        <v>0</v>
      </c>
      <c r="AT7" s="104"/>
      <c r="AU7" s="103">
        <f>IF(ISERROR(AO7*100000000/'Calc-Units'!$E$21)," ",AO7*100000000/'Calc-Units'!$E$21)</f>
        <v>0</v>
      </c>
      <c r="AV7" s="103">
        <f>IF(ISERROR(AP7*100000000/'Calc-Units'!$D$21)," ",AP7*100000000/'Calc-Units'!$D$21)</f>
        <v>0</v>
      </c>
      <c r="AW7" s="103">
        <f>IF(ISERROR(AQ7*100000000/'Calc-Units'!$C$21)," ",AQ7*100000000/'Calc-Units'!$C$21)</f>
        <v>0</v>
      </c>
      <c r="AX7" s="287">
        <f>IF(ISERROR(AR7*100000000/'Calc-Units'!$C$21)," ",AR7*100000000/'Calc-Units'!$C$21)</f>
        <v>0</v>
      </c>
      <c r="AZ7" s="108"/>
      <c r="BA7" s="96"/>
    </row>
    <row r="8" spans="1:53" s="95" customFormat="1" ht="12.75">
      <c r="A8" s="113"/>
      <c r="B8" s="105"/>
      <c r="C8" s="139" t="s">
        <v>180</v>
      </c>
      <c r="D8" s="151">
        <f>'RRP 1.3'!F$12</f>
        <v>3</v>
      </c>
      <c r="E8" s="151">
        <v>0</v>
      </c>
      <c r="F8" s="151">
        <v>0</v>
      </c>
      <c r="G8" s="151">
        <v>0</v>
      </c>
      <c r="H8" s="151">
        <v>0</v>
      </c>
      <c r="I8" s="151">
        <f t="shared" si="0"/>
        <v>3</v>
      </c>
      <c r="J8" s="144"/>
      <c r="K8" s="98"/>
      <c r="L8" s="151" t="s">
        <v>198</v>
      </c>
      <c r="M8" s="166">
        <f>IF(ISERROR(VLOOKUP($L8,'Calc-Drivers'!$B$17:$G$27,M$42,FALSE))," ",VLOOKUP($L8,'Calc-Drivers'!$B$17:$G$27,M$42,FALSE))</f>
        <v>0.22063382481052818</v>
      </c>
      <c r="N8" s="166">
        <f>IF(ISERROR(VLOOKUP($L8,'Calc-Drivers'!$B$17:$G$27,N$42,FALSE))," ",VLOOKUP($L8,'Calc-Drivers'!$B$17:$G$27,N$42,FALSE))</f>
        <v>0.27826178252589195</v>
      </c>
      <c r="O8" s="166">
        <f>IF(ISERROR(VLOOKUP($L8,'Calc-Drivers'!$B$17:$G$27,O$42,FALSE))," ",VLOOKUP($L8,'Calc-Drivers'!$B$17:$G$27,O$42,FALSE))</f>
        <v>0.06810256034239837</v>
      </c>
      <c r="P8" s="166">
        <f>IF(ISERROR(VLOOKUP($L8,'Calc-Drivers'!$B$17:$G$27,P$42,FALSE))," ",VLOOKUP($L8,'Calc-Drivers'!$B$17:$G$27,P$42,FALSE))</f>
        <v>0.2723245981969643</v>
      </c>
      <c r="Q8" s="166">
        <f>IF(ISERROR(VLOOKUP($L8,'Calc-Drivers'!$B$17:$G$27,Q$42,FALSE))," ",VLOOKUP($L8,'Calc-Drivers'!$B$17:$G$27,Q$42,FALSE))</f>
        <v>0.1606772341242173</v>
      </c>
      <c r="R8" s="100"/>
      <c r="S8" s="101">
        <f t="shared" si="1"/>
        <v>0.6619014744315845</v>
      </c>
      <c r="T8" s="101">
        <f t="shared" si="2"/>
        <v>0.8347853475776759</v>
      </c>
      <c r="U8" s="101">
        <f t="shared" si="3"/>
        <v>0.2043076810271951</v>
      </c>
      <c r="V8" s="172">
        <f t="shared" si="4"/>
        <v>0.8169737945908929</v>
      </c>
      <c r="W8" s="172">
        <f t="shared" si="4"/>
        <v>0.4820317023726519</v>
      </c>
      <c r="X8" s="96"/>
      <c r="Y8" s="101">
        <f t="shared" si="5"/>
        <v>0.6619014744315845</v>
      </c>
      <c r="Z8" s="101">
        <f t="shared" si="6"/>
        <v>0.8347853475776759</v>
      </c>
      <c r="AA8" s="101">
        <f t="shared" si="7"/>
        <v>0.2043076810271951</v>
      </c>
      <c r="AB8" s="172">
        <f t="shared" si="10"/>
        <v>0.8169737945908929</v>
      </c>
      <c r="AC8" s="172">
        <f t="shared" si="10"/>
        <v>0.4820317023726519</v>
      </c>
      <c r="AD8" s="102"/>
      <c r="AE8" s="103">
        <f>IF(ISERROR(Y8*100000000/'Calc-Units'!$E$21)," ",Y8*100000000/'Calc-Units'!$E$21)</f>
        <v>0.005330751756439317</v>
      </c>
      <c r="AF8" s="103">
        <f>IF(ISERROR(Z8*100000000/'Calc-Units'!$D$21)," ",Z8*100000000/'Calc-Units'!$D$21)</f>
        <v>0.008683543114585811</v>
      </c>
      <c r="AG8" s="103">
        <f>IF(ISERROR(AA8*100000000/'Calc-Units'!$C$21)," ",AA8*100000000/'Calc-Units'!$C$21)</f>
        <v>0.0028312347533473764</v>
      </c>
      <c r="AH8" s="287">
        <f>IF(ISERROR(AB8*100000000/'Calc-Units'!$C$21)," ",AB8*100000000/'Calc-Units'!$C$21)</f>
        <v>0.01132137856095548</v>
      </c>
      <c r="AI8" s="104"/>
      <c r="AJ8" s="97">
        <v>0.235</v>
      </c>
      <c r="AK8" s="98">
        <f t="shared" si="8"/>
        <v>0.705</v>
      </c>
      <c r="AL8" s="99">
        <f t="shared" si="9"/>
        <v>2.295</v>
      </c>
      <c r="AM8" s="98"/>
      <c r="AN8" s="98"/>
      <c r="AO8" s="101">
        <f t="shared" si="11"/>
        <v>0.5063546279401622</v>
      </c>
      <c r="AP8" s="101">
        <f t="shared" si="12"/>
        <v>0.6386107908969221</v>
      </c>
      <c r="AQ8" s="101">
        <f t="shared" si="13"/>
        <v>0.15629537598580426</v>
      </c>
      <c r="AR8" s="172">
        <f t="shared" si="14"/>
        <v>0.6249849528620331</v>
      </c>
      <c r="AS8" s="172">
        <f t="shared" si="14"/>
        <v>0.36875425231507875</v>
      </c>
      <c r="AT8" s="104"/>
      <c r="AU8" s="103">
        <f>IF(ISERROR(AO8*100000000/'Calc-Units'!$E$21)," ",AO8*100000000/'Calc-Units'!$E$21)</f>
        <v>0.004078025093676078</v>
      </c>
      <c r="AV8" s="103">
        <f>IF(ISERROR(AP8*100000000/'Calc-Units'!$D$21)," ",AP8*100000000/'Calc-Units'!$D$21)</f>
        <v>0.006642910482658145</v>
      </c>
      <c r="AW8" s="103">
        <f>IF(ISERROR(AQ8*100000000/'Calc-Units'!$C$21)," ",AQ8*100000000/'Calc-Units'!$C$21)</f>
        <v>0.0021658945863107433</v>
      </c>
      <c r="AX8" s="287">
        <f>IF(ISERROR(AR8*100000000/'Calc-Units'!$C$21)," ",AR8*100000000/'Calc-Units'!$C$21)</f>
        <v>0.008660854599130944</v>
      </c>
      <c r="AZ8" s="108"/>
      <c r="BA8" s="96"/>
    </row>
    <row r="9" spans="1:53" s="95" customFormat="1" ht="12.75">
      <c r="A9" s="113"/>
      <c r="B9" s="105"/>
      <c r="C9" s="139" t="s">
        <v>761</v>
      </c>
      <c r="D9" s="151">
        <f>'RRP 1.3'!G$12</f>
        <v>8.3</v>
      </c>
      <c r="E9" s="151">
        <f>SUM('RRP 2.3'!I20:I27)</f>
        <v>0.6000000000000001</v>
      </c>
      <c r="F9" s="151">
        <f>SUM('RRP 2.3'!I17:I18)</f>
        <v>2.3</v>
      </c>
      <c r="G9" s="151">
        <f>SUM('RRP 2.3'!I19)</f>
        <v>0.2</v>
      </c>
      <c r="H9" s="151">
        <f>SUM('RRP 2.3'!I11:I16)</f>
        <v>4.8999999999999995</v>
      </c>
      <c r="I9" s="151">
        <f t="shared" si="0"/>
        <v>0.3000000000000016</v>
      </c>
      <c r="J9" s="144"/>
      <c r="K9" s="98"/>
      <c r="L9" s="151" t="s">
        <v>198</v>
      </c>
      <c r="M9" s="166">
        <f>IF(ISERROR(VLOOKUP($L9,'Calc-Drivers'!$B$17:$G$27,M$42,FALSE))," ",VLOOKUP($L9,'Calc-Drivers'!$B$17:$G$27,M$42,FALSE))</f>
        <v>0.22063382481052818</v>
      </c>
      <c r="N9" s="166">
        <f>IF(ISERROR(VLOOKUP($L9,'Calc-Drivers'!$B$17:$G$27,N$42,FALSE))," ",VLOOKUP($L9,'Calc-Drivers'!$B$17:$G$27,N$42,FALSE))</f>
        <v>0.27826178252589195</v>
      </c>
      <c r="O9" s="166">
        <f>IF(ISERROR(VLOOKUP($L9,'Calc-Drivers'!$B$17:$G$27,O$42,FALSE))," ",VLOOKUP($L9,'Calc-Drivers'!$B$17:$G$27,O$42,FALSE))</f>
        <v>0.06810256034239837</v>
      </c>
      <c r="P9" s="166">
        <f>IF(ISERROR(VLOOKUP($L9,'Calc-Drivers'!$B$17:$G$27,P$42,FALSE))," ",VLOOKUP($L9,'Calc-Drivers'!$B$17:$G$27,P$42,FALSE))</f>
        <v>0.2723245981969643</v>
      </c>
      <c r="Q9" s="166">
        <f>IF(ISERROR(VLOOKUP($L9,'Calc-Drivers'!$B$17:$G$27,Q$42,FALSE))," ",VLOOKUP($L9,'Calc-Drivers'!$B$17:$G$27,Q$42,FALSE))</f>
        <v>0.1606772341242173</v>
      </c>
      <c r="R9" s="100"/>
      <c r="S9" s="101">
        <f t="shared" si="1"/>
        <v>0.0661901474431588</v>
      </c>
      <c r="T9" s="101">
        <f t="shared" si="2"/>
        <v>0.08347853475776804</v>
      </c>
      <c r="U9" s="101">
        <f t="shared" si="3"/>
        <v>0.02043076810271962</v>
      </c>
      <c r="V9" s="172">
        <f t="shared" si="4"/>
        <v>0.08169737945908973</v>
      </c>
      <c r="W9" s="172">
        <f t="shared" si="4"/>
        <v>0.04820317023726545</v>
      </c>
      <c r="X9" s="96"/>
      <c r="Y9" s="101">
        <f t="shared" si="5"/>
        <v>0.6661901474431589</v>
      </c>
      <c r="Z9" s="101">
        <f t="shared" si="6"/>
        <v>2.383478534757768</v>
      </c>
      <c r="AA9" s="101">
        <f t="shared" si="7"/>
        <v>0.22043076810271964</v>
      </c>
      <c r="AB9" s="172">
        <f t="shared" si="10"/>
        <v>3.163417666904278</v>
      </c>
      <c r="AC9" s="172">
        <f t="shared" si="10"/>
        <v>1.8664828827920767</v>
      </c>
      <c r="AD9" s="102"/>
      <c r="AE9" s="103">
        <f>IF(ISERROR(Y9*100000000/'Calc-Units'!$E$21)," ",Y9*100000000/'Calc-Units'!$E$21)</f>
        <v>0.005365291415395171</v>
      </c>
      <c r="AF9" s="103">
        <f>IF(ISERROR(Z9*100000000/'Calc-Units'!$D$21)," ",Z9*100000000/'Calc-Units'!$D$21)</f>
        <v>0.024793246167192765</v>
      </c>
      <c r="AG9" s="103">
        <f>IF(ISERROR(AA9*100000000/'Calc-Units'!$C$21)," ",AA9*100000000/'Calc-Units'!$C$21)</f>
        <v>0.0030546636730530183</v>
      </c>
      <c r="AH9" s="287">
        <f>IF(ISERROR(AB9*100000000/'Calc-Units'!$C$21)," ",AB9*100000000/'Calc-Units'!$C$21)</f>
        <v>0.04383769612998689</v>
      </c>
      <c r="AI9" s="104"/>
      <c r="AJ9" s="97">
        <v>0.235</v>
      </c>
      <c r="AK9" s="98">
        <f t="shared" si="8"/>
        <v>1.9505000000000001</v>
      </c>
      <c r="AL9" s="99">
        <f t="shared" si="9"/>
        <v>6.349500000000001</v>
      </c>
      <c r="AM9" s="98"/>
      <c r="AN9" s="98"/>
      <c r="AO9" s="101">
        <f t="shared" si="11"/>
        <v>0.5096354627940165</v>
      </c>
      <c r="AP9" s="101">
        <f t="shared" si="12"/>
        <v>1.8233610790896926</v>
      </c>
      <c r="AQ9" s="101">
        <f t="shared" si="13"/>
        <v>0.16862953759858051</v>
      </c>
      <c r="AR9" s="172">
        <f t="shared" si="14"/>
        <v>2.4200145151817725</v>
      </c>
      <c r="AS9" s="172">
        <f t="shared" si="14"/>
        <v>1.4278594053359388</v>
      </c>
      <c r="AT9" s="104"/>
      <c r="AU9" s="103">
        <f>IF(ISERROR(AO9*100000000/'Calc-Units'!$E$21)," ",AO9*100000000/'Calc-Units'!$E$21)</f>
        <v>0.004104447932777306</v>
      </c>
      <c r="AV9" s="103">
        <f>IF(ISERROR(AP9*100000000/'Calc-Units'!$D$21)," ",AP9*100000000/'Calc-Units'!$D$21)</f>
        <v>0.018966833317902467</v>
      </c>
      <c r="AW9" s="103">
        <f>IF(ISERROR(AQ9*100000000/'Calc-Units'!$C$21)," ",AQ9*100000000/'Calc-Units'!$C$21)</f>
        <v>0.002336817709885559</v>
      </c>
      <c r="AX9" s="287">
        <f>IF(ISERROR(AR9*100000000/'Calc-Units'!$C$21)," ",AR9*100000000/'Calc-Units'!$C$21)</f>
        <v>0.03353583753943997</v>
      </c>
      <c r="AZ9" s="108"/>
      <c r="BA9" s="96"/>
    </row>
    <row r="10" spans="1:53" s="95" customFormat="1" ht="12.75">
      <c r="A10" s="113"/>
      <c r="B10" s="105"/>
      <c r="C10" s="139" t="s">
        <v>38</v>
      </c>
      <c r="D10" s="151">
        <f>'RRP 1.3'!H$12</f>
        <v>5.5</v>
      </c>
      <c r="E10" s="151">
        <f>SUM('RRP 2.3'!G20:G27)</f>
        <v>2.3000000000000003</v>
      </c>
      <c r="F10" s="151">
        <f>SUM('RRP 2.3'!G17:G18)</f>
        <v>0.6</v>
      </c>
      <c r="G10" s="183">
        <f>SUM('RRP 2.3'!G19)</f>
        <v>1.6</v>
      </c>
      <c r="H10" s="151">
        <f>SUM('RRP 2.3'!G11:G16)</f>
        <v>0.7000000000000001</v>
      </c>
      <c r="I10" s="151">
        <f t="shared" si="0"/>
        <v>0.2999999999999995</v>
      </c>
      <c r="J10" s="144"/>
      <c r="K10" s="98"/>
      <c r="L10" s="153" t="s">
        <v>198</v>
      </c>
      <c r="M10" s="166">
        <f>IF(ISERROR(VLOOKUP($L10,'Calc-Drivers'!$B$17:$G$27,M$42,FALSE))," ",VLOOKUP($L10,'Calc-Drivers'!$B$17:$G$27,M$42,FALSE))</f>
        <v>0.22063382481052818</v>
      </c>
      <c r="N10" s="166">
        <f>IF(ISERROR(VLOOKUP($L10,'Calc-Drivers'!$B$17:$G$27,N$42,FALSE))," ",VLOOKUP($L10,'Calc-Drivers'!$B$17:$G$27,N$42,FALSE))</f>
        <v>0.27826178252589195</v>
      </c>
      <c r="O10" s="166">
        <f>IF(ISERROR(VLOOKUP($L10,'Calc-Drivers'!$B$17:$G$27,O$42,FALSE))," ",VLOOKUP($L10,'Calc-Drivers'!$B$17:$G$27,O$42,FALSE))</f>
        <v>0.06810256034239837</v>
      </c>
      <c r="P10" s="166">
        <f>IF(ISERROR(VLOOKUP($L10,'Calc-Drivers'!$B$17:$G$27,P$42,FALSE))," ",VLOOKUP($L10,'Calc-Drivers'!$B$17:$G$27,P$42,FALSE))</f>
        <v>0.2723245981969643</v>
      </c>
      <c r="Q10" s="166">
        <f>IF(ISERROR(VLOOKUP($L10,'Calc-Drivers'!$B$17:$G$27,Q$42,FALSE))," ",VLOOKUP($L10,'Calc-Drivers'!$B$17:$G$27,Q$42,FALSE))</f>
        <v>0.1606772341242173</v>
      </c>
      <c r="R10" s="100"/>
      <c r="S10" s="101">
        <f t="shared" si="1"/>
        <v>0.06619014744315833</v>
      </c>
      <c r="T10" s="101">
        <f t="shared" si="2"/>
        <v>0.08347853475776744</v>
      </c>
      <c r="U10" s="101">
        <f t="shared" si="3"/>
        <v>0.020430768102719474</v>
      </c>
      <c r="V10" s="172">
        <f t="shared" si="4"/>
        <v>0.08169737945908916</v>
      </c>
      <c r="W10" s="172">
        <f t="shared" si="4"/>
        <v>0.04820317023726511</v>
      </c>
      <c r="X10" s="96"/>
      <c r="Y10" s="101">
        <f t="shared" si="5"/>
        <v>2.3661901474431586</v>
      </c>
      <c r="Z10" s="101">
        <f t="shared" si="6"/>
        <v>0.6834785347577674</v>
      </c>
      <c r="AA10" s="101">
        <f t="shared" si="7"/>
        <v>1.6204307681027195</v>
      </c>
      <c r="AB10" s="172">
        <f t="shared" si="10"/>
        <v>0.5219431348084018</v>
      </c>
      <c r="AC10" s="172">
        <f t="shared" si="10"/>
        <v>0.3079574148879525</v>
      </c>
      <c r="AD10" s="102"/>
      <c r="AE10" s="103">
        <f>IF(ISERROR(Y10*100000000/'Calc-Units'!$E$21)," ",Y10*100000000/'Calc-Units'!$E$21)</f>
        <v>0.019056570761357004</v>
      </c>
      <c r="AF10" s="103">
        <f>IF(ISERROR(Z10*100000000/'Calc-Units'!$D$21)," ",Z10*100000000/'Calc-Units'!$D$21)</f>
        <v>0.007109630447737061</v>
      </c>
      <c r="AG10" s="103">
        <f>IF(ISERROR(AA10*100000000/'Calc-Units'!$C$21)," ",AA10*100000000/'Calc-Units'!$C$21)</f>
        <v>0.022455445057080966</v>
      </c>
      <c r="AH10" s="287">
        <f>IF(ISERROR(AB10*100000000/'Calc-Units'!$C$21)," ",AB10*100000000/'Calc-Units'!$C$21)</f>
        <v>0.007232931895222882</v>
      </c>
      <c r="AI10" s="104"/>
      <c r="AJ10" s="97">
        <v>0.235</v>
      </c>
      <c r="AK10" s="98">
        <f t="shared" si="8"/>
        <v>1.2925</v>
      </c>
      <c r="AL10" s="99">
        <f t="shared" si="9"/>
        <v>4.2075000000000005</v>
      </c>
      <c r="AM10" s="98"/>
      <c r="AN10" s="98"/>
      <c r="AO10" s="176">
        <f t="shared" si="11"/>
        <v>1.8101354627940163</v>
      </c>
      <c r="AP10" s="176">
        <f t="shared" si="12"/>
        <v>0.5228610790896921</v>
      </c>
      <c r="AQ10" s="176">
        <f t="shared" si="13"/>
        <v>1.2396295375985804</v>
      </c>
      <c r="AR10" s="173">
        <f t="shared" si="14"/>
        <v>0.3992864981284274</v>
      </c>
      <c r="AS10" s="173">
        <f t="shared" si="14"/>
        <v>0.23558742238928365</v>
      </c>
      <c r="AT10" s="104"/>
      <c r="AU10" s="288">
        <f>IF(ISERROR(AO10*100000000/'Calc-Units'!$E$21)," ",AO10*100000000/'Calc-Units'!$E$21)</f>
        <v>0.014578276632438106</v>
      </c>
      <c r="AV10" s="288">
        <f>IF(ISERROR(AP10*100000000/'Calc-Units'!$D$21)," ",AP10*100000000/'Calc-Units'!$D$21)</f>
        <v>0.005438867292518853</v>
      </c>
      <c r="AW10" s="288">
        <f>IF(ISERROR(AQ10*100000000/'Calc-Units'!$C$21)," ",AQ10*100000000/'Calc-Units'!$C$21)</f>
        <v>0.01717841546866694</v>
      </c>
      <c r="AX10" s="289">
        <f>IF(ISERROR(AR10*100000000/'Calc-Units'!$C$21)," ",AR10*100000000/'Calc-Units'!$C$21)</f>
        <v>0.005533192899845505</v>
      </c>
      <c r="AZ10" s="108"/>
      <c r="BA10" s="96"/>
    </row>
    <row r="11" spans="1:53" s="95" customFormat="1" ht="12.75">
      <c r="A11" s="116"/>
      <c r="B11" s="105"/>
      <c r="C11" s="282" t="s">
        <v>763</v>
      </c>
      <c r="D11" s="163">
        <f>'RRP 1.3'!I$12</f>
        <v>4.1</v>
      </c>
      <c r="E11" s="163">
        <f>'RRP 2.3'!G46+'RRP 2.3'!G47</f>
        <v>0.6297770891609763</v>
      </c>
      <c r="F11" s="163">
        <f>'RRP 2.3'!G45</f>
        <v>2.36306933637506</v>
      </c>
      <c r="G11" s="164">
        <v>0</v>
      </c>
      <c r="H11" s="163">
        <f>'RRP 2.3'!G44</f>
        <v>1.165518117056671</v>
      </c>
      <c r="I11" s="163">
        <f t="shared" si="0"/>
        <v>-0.058364542592707735</v>
      </c>
      <c r="J11" s="144"/>
      <c r="K11" s="98"/>
      <c r="L11" s="174" t="s">
        <v>198</v>
      </c>
      <c r="M11" s="284">
        <f>IF(ISERROR(VLOOKUP($L11,'Calc-Drivers'!$B$17:$G$27,M$42,FALSE))," ",VLOOKUP($L11,'Calc-Drivers'!$B$17:$G$27,M$42,FALSE))</f>
        <v>0.22063382481052818</v>
      </c>
      <c r="N11" s="284">
        <f>IF(ISERROR(VLOOKUP($L11,'Calc-Drivers'!$B$17:$G$27,N$42,FALSE))," ",VLOOKUP($L11,'Calc-Drivers'!$B$17:$G$27,N$42,FALSE))</f>
        <v>0.27826178252589195</v>
      </c>
      <c r="O11" s="284">
        <f>IF(ISERROR(VLOOKUP($L11,'Calc-Drivers'!$B$17:$G$27,O$42,FALSE))," ",VLOOKUP($L11,'Calc-Drivers'!$B$17:$G$27,O$42,FALSE))</f>
        <v>0.06810256034239837</v>
      </c>
      <c r="P11" s="284">
        <f>IF(ISERROR(VLOOKUP($L11,'Calc-Drivers'!$B$17:$G$27,P$42,FALSE))," ",VLOOKUP($L11,'Calc-Drivers'!$B$17:$G$27,P$42,FALSE))</f>
        <v>0.2723245981969643</v>
      </c>
      <c r="Q11" s="284">
        <f>IF(ISERROR(VLOOKUP($L11,'Calc-Drivers'!$B$17:$G$27,Q$42,FALSE))," ",VLOOKUP($L11,'Calc-Drivers'!$B$17:$G$27,Q$42,FALSE))</f>
        <v>0.1606772341242173</v>
      </c>
      <c r="R11" s="100"/>
      <c r="S11" s="176">
        <f t="shared" si="1"/>
        <v>-0.01287719226554609</v>
      </c>
      <c r="T11" s="176">
        <f t="shared" si="2"/>
        <v>-0.016240621658155197</v>
      </c>
      <c r="U11" s="176">
        <f t="shared" si="3"/>
        <v>-0.003974774783776358</v>
      </c>
      <c r="V11" s="173">
        <f t="shared" si="4"/>
        <v>-0.015894100610508742</v>
      </c>
      <c r="W11" s="173">
        <f t="shared" si="4"/>
        <v>-0.009377853274721354</v>
      </c>
      <c r="X11" s="96"/>
      <c r="Y11" s="176">
        <f t="shared" si="5"/>
        <v>0.6168998968954302</v>
      </c>
      <c r="Z11" s="176">
        <f t="shared" si="6"/>
        <v>2.346828714716905</v>
      </c>
      <c r="AA11" s="176">
        <f t="shared" si="7"/>
        <v>-0.003974774783776358</v>
      </c>
      <c r="AB11" s="172">
        <f t="shared" si="10"/>
        <v>0.7171264762708095</v>
      </c>
      <c r="AC11" s="172">
        <f t="shared" si="10"/>
        <v>0.4231196869006315</v>
      </c>
      <c r="AD11" s="102"/>
      <c r="AE11" s="288">
        <f>IF(ISERROR(Y11*100000000/'Calc-Units'!$E$21)," ",Y11*100000000/'Calc-Units'!$E$21)</f>
        <v>0.004968322833464935</v>
      </c>
      <c r="AF11" s="288">
        <f>IF(ISERROR(Z11*100000000/'Calc-Units'!$D$21)," ",Z11*100000000/'Calc-Units'!$D$21)</f>
        <v>0.024412010088492867</v>
      </c>
      <c r="AG11" s="288">
        <f>IF(ISERROR(AA11*100000000/'Calc-Units'!$C$21)," ",AA11*100000000/'Calc-Units'!$C$21)</f>
        <v>-5.5081240450565786E-05</v>
      </c>
      <c r="AH11" s="289">
        <f>IF(ISERROR(AB11*100000000/'Calc-Units'!$C$21)," ",AB11*100000000/'Calc-Units'!$C$21)</f>
        <v>0.00993772427916306</v>
      </c>
      <c r="AI11" s="104"/>
      <c r="AJ11" s="292">
        <v>0.235</v>
      </c>
      <c r="AK11" s="293">
        <f t="shared" si="8"/>
        <v>0.9634999999999999</v>
      </c>
      <c r="AL11" s="294">
        <f t="shared" si="9"/>
        <v>3.1365</v>
      </c>
      <c r="AM11" s="98"/>
      <c r="AN11" s="98"/>
      <c r="AO11" s="175">
        <f t="shared" si="11"/>
        <v>0.47192842112500416</v>
      </c>
      <c r="AP11" s="175">
        <f t="shared" si="12"/>
        <v>1.7953239667584324</v>
      </c>
      <c r="AQ11" s="175">
        <f t="shared" si="13"/>
        <v>-0.0030407027095889143</v>
      </c>
      <c r="AR11" s="171">
        <f t="shared" si="14"/>
        <v>0.5486017543471693</v>
      </c>
      <c r="AS11" s="171">
        <f t="shared" si="14"/>
        <v>0.3236865604789831</v>
      </c>
      <c r="AT11" s="104"/>
      <c r="AU11" s="331">
        <f>IF(ISERROR(AO11*100000000/'Calc-Units'!$E$21)," ",AO11*100000000/'Calc-Units'!$E$21)</f>
        <v>0.0038007669676006755</v>
      </c>
      <c r="AV11" s="331">
        <f>IF(ISERROR(AP11*100000000/'Calc-Units'!$D$21)," ",AP11*100000000/'Calc-Units'!$D$21)</f>
        <v>0.018675187717697043</v>
      </c>
      <c r="AW11" s="331">
        <f>IF(ISERROR(AQ11*100000000/'Calc-Units'!$C$21)," ",AQ11*100000000/'Calc-Units'!$C$21)</f>
        <v>-4.213714894468283E-05</v>
      </c>
      <c r="AX11" s="332">
        <f>IF(ISERROR(AR11*100000000/'Calc-Units'!$C$21)," ",AR11*100000000/'Calc-Units'!$C$21)</f>
        <v>0.007602359073559741</v>
      </c>
      <c r="AZ11" s="108"/>
      <c r="BA11" s="96"/>
    </row>
    <row r="12" spans="1:53" s="111" customFormat="1" ht="12.75" customHeight="1">
      <c r="A12" s="113"/>
      <c r="B12" s="281" t="s">
        <v>600</v>
      </c>
      <c r="C12" s="140" t="s">
        <v>588</v>
      </c>
      <c r="D12" s="153">
        <f>'RRP 1.3'!J$12</f>
        <v>0.6</v>
      </c>
      <c r="E12" s="153">
        <v>0</v>
      </c>
      <c r="F12" s="153">
        <v>0</v>
      </c>
      <c r="G12" s="153">
        <v>0</v>
      </c>
      <c r="H12" s="153">
        <v>0</v>
      </c>
      <c r="I12" s="153">
        <f t="shared" si="0"/>
        <v>0.6</v>
      </c>
      <c r="J12" s="145"/>
      <c r="K12" s="107"/>
      <c r="L12" s="153" t="s">
        <v>198</v>
      </c>
      <c r="M12" s="166">
        <f>IF(ISERROR(VLOOKUP($L12,'Calc-Drivers'!$B$17:$G$27,M$42,FALSE))," ",VLOOKUP($L12,'Calc-Drivers'!$B$17:$G$27,M$42,FALSE))</f>
        <v>0.22063382481052818</v>
      </c>
      <c r="N12" s="166">
        <f>IF(ISERROR(VLOOKUP($L12,'Calc-Drivers'!$B$17:$G$27,N$42,FALSE))," ",VLOOKUP($L12,'Calc-Drivers'!$B$17:$G$27,N$42,FALSE))</f>
        <v>0.27826178252589195</v>
      </c>
      <c r="O12" s="166">
        <f>IF(ISERROR(VLOOKUP($L12,'Calc-Drivers'!$B$17:$G$27,O$42,FALSE))," ",VLOOKUP($L12,'Calc-Drivers'!$B$17:$G$27,O$42,FALSE))</f>
        <v>0.06810256034239837</v>
      </c>
      <c r="P12" s="166">
        <f>IF(ISERROR(VLOOKUP($L12,'Calc-Drivers'!$B$17:$G$27,P$42,FALSE))," ",VLOOKUP($L12,'Calc-Drivers'!$B$17:$G$27,P$42,FALSE))</f>
        <v>0.2723245981969643</v>
      </c>
      <c r="Q12" s="166">
        <f>IF(ISERROR(VLOOKUP($L12,'Calc-Drivers'!$B$17:$G$27,Q$42,FALSE))," ",VLOOKUP($L12,'Calc-Drivers'!$B$17:$G$27,Q$42,FALSE))</f>
        <v>0.1606772341242173</v>
      </c>
      <c r="R12" s="100"/>
      <c r="S12" s="101">
        <f t="shared" si="1"/>
        <v>0.1323802948863169</v>
      </c>
      <c r="T12" s="101">
        <f t="shared" si="2"/>
        <v>0.16695706951553516</v>
      </c>
      <c r="U12" s="101">
        <f t="shared" si="3"/>
        <v>0.04086153620543902</v>
      </c>
      <c r="V12" s="172">
        <f t="shared" si="4"/>
        <v>0.1633947589181786</v>
      </c>
      <c r="W12" s="172">
        <f t="shared" si="4"/>
        <v>0.09640634047453038</v>
      </c>
      <c r="X12" s="108"/>
      <c r="Y12" s="175">
        <f t="shared" si="5"/>
        <v>0.1323802948863169</v>
      </c>
      <c r="Z12" s="175">
        <f t="shared" si="6"/>
        <v>0.16695706951553516</v>
      </c>
      <c r="AA12" s="175">
        <f t="shared" si="7"/>
        <v>0.04086153620543902</v>
      </c>
      <c r="AB12" s="172">
        <f t="shared" si="10"/>
        <v>0.1633947589181786</v>
      </c>
      <c r="AC12" s="172">
        <f t="shared" si="10"/>
        <v>0.09640634047453038</v>
      </c>
      <c r="AD12" s="109"/>
      <c r="AE12" s="331">
        <f>IF(ISERROR(Y12*100000000/'Calc-Units'!$E$21)," ",Y12*100000000/'Calc-Units'!$E$21)</f>
        <v>0.0010661503512878632</v>
      </c>
      <c r="AF12" s="331">
        <f>IF(ISERROR(Z12*100000000/'Calc-Units'!$D$21)," ",Z12*100000000/'Calc-Units'!$D$21)</f>
        <v>0.001736708622917162</v>
      </c>
      <c r="AG12" s="331">
        <f>IF(ISERROR(AA12*100000000/'Calc-Units'!$C$21)," ",AA12*100000000/'Calc-Units'!$C$21)</f>
        <v>0.0005662469506694753</v>
      </c>
      <c r="AH12" s="332">
        <f>IF(ISERROR(AB12*100000000/'Calc-Units'!$C$21)," ",AB12*100000000/'Calc-Units'!$C$21)</f>
        <v>0.0022642757121910956</v>
      </c>
      <c r="AI12" s="110"/>
      <c r="AJ12" s="335">
        <v>0.5257</v>
      </c>
      <c r="AK12" s="326">
        <f t="shared" si="8"/>
        <v>0.31542</v>
      </c>
      <c r="AL12" s="327">
        <f t="shared" si="9"/>
        <v>0.28458</v>
      </c>
      <c r="AM12" s="98"/>
      <c r="AN12" s="98"/>
      <c r="AO12" s="101">
        <f t="shared" si="11"/>
        <v>0.06278797386458011</v>
      </c>
      <c r="AP12" s="101">
        <f t="shared" si="12"/>
        <v>0.07918773807121833</v>
      </c>
      <c r="AQ12" s="101">
        <f t="shared" si="13"/>
        <v>0.019380626622239727</v>
      </c>
      <c r="AR12" s="172">
        <f t="shared" si="14"/>
        <v>0.07749813415489211</v>
      </c>
      <c r="AS12" s="172">
        <f t="shared" si="14"/>
        <v>0.045725527287069766</v>
      </c>
      <c r="AT12" s="110"/>
      <c r="AU12" s="103">
        <f>IF(ISERROR(AO12*100000000/'Calc-Units'!$E$21)," ",AO12*100000000/'Calc-Units'!$E$21)</f>
        <v>0.0005056751116158337</v>
      </c>
      <c r="AV12" s="103">
        <f>IF(ISERROR(AP12*100000000/'Calc-Units'!$D$21)," ",AP12*100000000/'Calc-Units'!$D$21)</f>
        <v>0.00082372089984961</v>
      </c>
      <c r="AW12" s="103">
        <f>IF(ISERROR(AQ12*100000000/'Calc-Units'!$C$21)," ",AQ12*100000000/'Calc-Units'!$C$21)</f>
        <v>0.0002685709287025321</v>
      </c>
      <c r="AX12" s="287">
        <f>IF(ISERROR(AR12*100000000/'Calc-Units'!$C$21)," ",AR12*100000000/'Calc-Units'!$C$21)</f>
        <v>0.0010739459702922367</v>
      </c>
      <c r="AZ12" s="108"/>
      <c r="BA12" s="108"/>
    </row>
    <row r="13" spans="1:53" s="111" customFormat="1" ht="12.75">
      <c r="A13" s="113"/>
      <c r="B13" s="112"/>
      <c r="C13" s="140" t="s">
        <v>589</v>
      </c>
      <c r="D13" s="153">
        <f>'RRP 1.3'!K$12</f>
        <v>3.5</v>
      </c>
      <c r="E13" s="153">
        <v>0</v>
      </c>
      <c r="F13" s="153">
        <v>0</v>
      </c>
      <c r="G13" s="153">
        <v>0</v>
      </c>
      <c r="H13" s="153">
        <v>0</v>
      </c>
      <c r="I13" s="153">
        <f t="shared" si="0"/>
        <v>3.5</v>
      </c>
      <c r="J13" s="145"/>
      <c r="K13" s="107"/>
      <c r="L13" s="153" t="s">
        <v>198</v>
      </c>
      <c r="M13" s="166">
        <f>IF(ISERROR(VLOOKUP($L13,'Calc-Drivers'!$B$17:$G$27,M$42,FALSE))," ",VLOOKUP($L13,'Calc-Drivers'!$B$17:$G$27,M$42,FALSE))</f>
        <v>0.22063382481052818</v>
      </c>
      <c r="N13" s="166">
        <f>IF(ISERROR(VLOOKUP($L13,'Calc-Drivers'!$B$17:$G$27,N$42,FALSE))," ",VLOOKUP($L13,'Calc-Drivers'!$B$17:$G$27,N$42,FALSE))</f>
        <v>0.27826178252589195</v>
      </c>
      <c r="O13" s="166">
        <f>IF(ISERROR(VLOOKUP($L13,'Calc-Drivers'!$B$17:$G$27,O$42,FALSE))," ",VLOOKUP($L13,'Calc-Drivers'!$B$17:$G$27,O$42,FALSE))</f>
        <v>0.06810256034239837</v>
      </c>
      <c r="P13" s="166">
        <f>IF(ISERROR(VLOOKUP($L13,'Calc-Drivers'!$B$17:$G$27,P$42,FALSE))," ",VLOOKUP($L13,'Calc-Drivers'!$B$17:$G$27,P$42,FALSE))</f>
        <v>0.2723245981969643</v>
      </c>
      <c r="Q13" s="166">
        <f>IF(ISERROR(VLOOKUP($L13,'Calc-Drivers'!$B$17:$G$27,Q$42,FALSE))," ",VLOOKUP($L13,'Calc-Drivers'!$B$17:$G$27,Q$42,FALSE))</f>
        <v>0.1606772341242173</v>
      </c>
      <c r="R13" s="100"/>
      <c r="S13" s="101">
        <f t="shared" si="1"/>
        <v>0.7722183868368486</v>
      </c>
      <c r="T13" s="101">
        <f t="shared" si="2"/>
        <v>0.9739162388406218</v>
      </c>
      <c r="U13" s="101">
        <f t="shared" si="3"/>
        <v>0.23835896119839428</v>
      </c>
      <c r="V13" s="172">
        <f t="shared" si="4"/>
        <v>0.9531360936893751</v>
      </c>
      <c r="W13" s="172">
        <f t="shared" si="4"/>
        <v>0.5623703194347606</v>
      </c>
      <c r="X13" s="108"/>
      <c r="Y13" s="101">
        <f t="shared" si="5"/>
        <v>0.7722183868368486</v>
      </c>
      <c r="Z13" s="101">
        <f t="shared" si="6"/>
        <v>0.9739162388406218</v>
      </c>
      <c r="AA13" s="101">
        <f t="shared" si="7"/>
        <v>0.23835896119839428</v>
      </c>
      <c r="AB13" s="172">
        <f t="shared" si="10"/>
        <v>0.9531360936893751</v>
      </c>
      <c r="AC13" s="172">
        <f t="shared" si="10"/>
        <v>0.5623703194347606</v>
      </c>
      <c r="AD13" s="109"/>
      <c r="AE13" s="103">
        <f>IF(ISERROR(Y13*100000000/'Calc-Units'!$E$21)," ",Y13*100000000/'Calc-Units'!$E$21)</f>
        <v>0.006219210382512536</v>
      </c>
      <c r="AF13" s="103">
        <f>IF(ISERROR(Z13*100000000/'Calc-Units'!$D$21)," ",Z13*100000000/'Calc-Units'!$D$21)</f>
        <v>0.010130800300350113</v>
      </c>
      <c r="AG13" s="103">
        <f>IF(ISERROR(AA13*100000000/'Calc-Units'!$C$21)," ",AA13*100000000/'Calc-Units'!$C$21)</f>
        <v>0.0033031072122386065</v>
      </c>
      <c r="AH13" s="287">
        <f>IF(ISERROR(AB13*100000000/'Calc-Units'!$C$21)," ",AB13*100000000/'Calc-Units'!$C$21)</f>
        <v>0.013208274987781392</v>
      </c>
      <c r="AI13" s="110"/>
      <c r="AJ13" s="106">
        <v>0.5257</v>
      </c>
      <c r="AK13" s="98">
        <f t="shared" si="8"/>
        <v>1.8399499999999998</v>
      </c>
      <c r="AL13" s="99">
        <f t="shared" si="9"/>
        <v>1.6600500000000002</v>
      </c>
      <c r="AM13" s="98"/>
      <c r="AN13" s="98"/>
      <c r="AO13" s="101">
        <f t="shared" si="11"/>
        <v>0.36626318087671733</v>
      </c>
      <c r="AP13" s="101">
        <f t="shared" si="12"/>
        <v>0.46192847208210697</v>
      </c>
      <c r="AQ13" s="101">
        <f t="shared" si="13"/>
        <v>0.11305365529639842</v>
      </c>
      <c r="AR13" s="172">
        <f t="shared" si="14"/>
        <v>0.4520724492368707</v>
      </c>
      <c r="AS13" s="172">
        <f t="shared" si="14"/>
        <v>0.26673224250790695</v>
      </c>
      <c r="AT13" s="110"/>
      <c r="AU13" s="103">
        <f>IF(ISERROR(AO13*100000000/'Calc-Units'!$E$21)," ",AO13*100000000/'Calc-Units'!$E$21)</f>
        <v>0.0029497714844256965</v>
      </c>
      <c r="AV13" s="103">
        <f>IF(ISERROR(AP13*100000000/'Calc-Units'!$D$21)," ",AP13*100000000/'Calc-Units'!$D$21)</f>
        <v>0.004805038582456059</v>
      </c>
      <c r="AW13" s="103">
        <f>IF(ISERROR(AQ13*100000000/'Calc-Units'!$C$21)," ",AQ13*100000000/'Calc-Units'!$C$21)</f>
        <v>0.0015666637507647711</v>
      </c>
      <c r="AX13" s="287">
        <f>IF(ISERROR(AR13*100000000/'Calc-Units'!$C$21)," ",AR13*100000000/'Calc-Units'!$C$21)</f>
        <v>0.0062646848267047155</v>
      </c>
      <c r="AZ13" s="108"/>
      <c r="BA13" s="108"/>
    </row>
    <row r="14" spans="1:53" s="111" customFormat="1" ht="12.75">
      <c r="A14" s="113"/>
      <c r="B14" s="112"/>
      <c r="C14" s="140" t="s">
        <v>590</v>
      </c>
      <c r="D14" s="153">
        <f>'RRP 1.3'!L$12</f>
        <v>2.9</v>
      </c>
      <c r="E14" s="153">
        <v>0</v>
      </c>
      <c r="F14" s="153">
        <v>0</v>
      </c>
      <c r="G14" s="153">
        <v>0</v>
      </c>
      <c r="H14" s="153">
        <v>0</v>
      </c>
      <c r="I14" s="153">
        <f t="shared" si="0"/>
        <v>2.9</v>
      </c>
      <c r="J14" s="145"/>
      <c r="K14" s="107"/>
      <c r="L14" s="153" t="s">
        <v>198</v>
      </c>
      <c r="M14" s="166">
        <f>IF(ISERROR(VLOOKUP($L14,'Calc-Drivers'!$B$17:$G$27,M$42,FALSE))," ",VLOOKUP($L14,'Calc-Drivers'!$B$17:$G$27,M$42,FALSE))</f>
        <v>0.22063382481052818</v>
      </c>
      <c r="N14" s="166">
        <f>IF(ISERROR(VLOOKUP($L14,'Calc-Drivers'!$B$17:$G$27,N$42,FALSE))," ",VLOOKUP($L14,'Calc-Drivers'!$B$17:$G$27,N$42,FALSE))</f>
        <v>0.27826178252589195</v>
      </c>
      <c r="O14" s="166">
        <f>IF(ISERROR(VLOOKUP($L14,'Calc-Drivers'!$B$17:$G$27,O$42,FALSE))," ",VLOOKUP($L14,'Calc-Drivers'!$B$17:$G$27,O$42,FALSE))</f>
        <v>0.06810256034239837</v>
      </c>
      <c r="P14" s="166">
        <f>IF(ISERROR(VLOOKUP($L14,'Calc-Drivers'!$B$17:$G$27,P$42,FALSE))," ",VLOOKUP($L14,'Calc-Drivers'!$B$17:$G$27,P$42,FALSE))</f>
        <v>0.2723245981969643</v>
      </c>
      <c r="Q14" s="166">
        <f>IF(ISERROR(VLOOKUP($L14,'Calc-Drivers'!$B$17:$G$27,Q$42,FALSE))," ",VLOOKUP($L14,'Calc-Drivers'!$B$17:$G$27,Q$42,FALSE))</f>
        <v>0.1606772341242173</v>
      </c>
      <c r="R14" s="100"/>
      <c r="S14" s="101">
        <f t="shared" si="1"/>
        <v>0.6398380919505317</v>
      </c>
      <c r="T14" s="101">
        <f t="shared" si="2"/>
        <v>0.8069591693250866</v>
      </c>
      <c r="U14" s="101">
        <f t="shared" si="3"/>
        <v>0.19749742499295525</v>
      </c>
      <c r="V14" s="172">
        <f t="shared" si="4"/>
        <v>0.7897413347711965</v>
      </c>
      <c r="W14" s="172">
        <f t="shared" si="4"/>
        <v>0.4659639789602302</v>
      </c>
      <c r="X14" s="108"/>
      <c r="Y14" s="101">
        <f t="shared" si="5"/>
        <v>0.6398380919505317</v>
      </c>
      <c r="Z14" s="101">
        <f t="shared" si="6"/>
        <v>0.8069591693250866</v>
      </c>
      <c r="AA14" s="101">
        <f t="shared" si="7"/>
        <v>0.19749742499295525</v>
      </c>
      <c r="AB14" s="172">
        <f t="shared" si="10"/>
        <v>0.7897413347711965</v>
      </c>
      <c r="AC14" s="172">
        <f t="shared" si="10"/>
        <v>0.4659639789602302</v>
      </c>
      <c r="AD14" s="109"/>
      <c r="AE14" s="103">
        <f>IF(ISERROR(Y14*100000000/'Calc-Units'!$E$21)," ",Y14*100000000/'Calc-Units'!$E$21)</f>
        <v>0.005153060031224672</v>
      </c>
      <c r="AF14" s="103">
        <f>IF(ISERROR(Z14*100000000/'Calc-Units'!$D$21)," ",Z14*100000000/'Calc-Units'!$D$21)</f>
        <v>0.00839409167743295</v>
      </c>
      <c r="AG14" s="103">
        <f>IF(ISERROR(AA14*100000000/'Calc-Units'!$C$21)," ",AA14*100000000/'Calc-Units'!$C$21)</f>
        <v>0.0027368602615691308</v>
      </c>
      <c r="AH14" s="287">
        <f>IF(ISERROR(AB14*100000000/'Calc-Units'!$C$21)," ",AB14*100000000/'Calc-Units'!$C$21)</f>
        <v>0.010943999275590295</v>
      </c>
      <c r="AI14" s="110"/>
      <c r="AJ14" s="106">
        <v>0.5257</v>
      </c>
      <c r="AK14" s="98">
        <f t="shared" si="8"/>
        <v>1.5245299999999997</v>
      </c>
      <c r="AL14" s="99">
        <f t="shared" si="9"/>
        <v>1.3754700000000002</v>
      </c>
      <c r="AM14" s="98"/>
      <c r="AN14" s="98"/>
      <c r="AO14" s="101">
        <f t="shared" si="11"/>
        <v>0.3034752070121372</v>
      </c>
      <c r="AP14" s="101">
        <f t="shared" si="12"/>
        <v>0.3827407340108886</v>
      </c>
      <c r="AQ14" s="101">
        <f t="shared" si="13"/>
        <v>0.09367302867415869</v>
      </c>
      <c r="AR14" s="172">
        <f t="shared" si="14"/>
        <v>0.3745743150819785</v>
      </c>
      <c r="AS14" s="172">
        <f t="shared" si="14"/>
        <v>0.2210067152208372</v>
      </c>
      <c r="AT14" s="110"/>
      <c r="AU14" s="103">
        <f>IF(ISERROR(AO14*100000000/'Calc-Units'!$E$21)," ",AO14*100000000/'Calc-Units'!$E$21)</f>
        <v>0.0024440963728098626</v>
      </c>
      <c r="AV14" s="103">
        <f>IF(ISERROR(AP14*100000000/'Calc-Units'!$D$21)," ",AP14*100000000/'Calc-Units'!$D$21)</f>
        <v>0.003981317682606448</v>
      </c>
      <c r="AW14" s="103">
        <f>IF(ISERROR(AQ14*100000000/'Calc-Units'!$C$21)," ",AQ14*100000000/'Calc-Units'!$C$21)</f>
        <v>0.0012980928220622388</v>
      </c>
      <c r="AX14" s="287">
        <f>IF(ISERROR(AR14*100000000/'Calc-Units'!$C$21)," ",AR14*100000000/'Calc-Units'!$C$21)</f>
        <v>0.005190738856412478</v>
      </c>
      <c r="AZ14" s="108"/>
      <c r="BA14" s="108"/>
    </row>
    <row r="15" spans="1:53" s="111" customFormat="1" ht="12.75">
      <c r="A15" s="113"/>
      <c r="B15" s="112"/>
      <c r="C15" s="140" t="s">
        <v>591</v>
      </c>
      <c r="D15" s="153">
        <f>'RRP 1.3'!M$12</f>
        <v>7.2</v>
      </c>
      <c r="E15" s="153">
        <v>0</v>
      </c>
      <c r="F15" s="153">
        <v>0</v>
      </c>
      <c r="G15" s="153">
        <v>0</v>
      </c>
      <c r="H15" s="153">
        <v>0</v>
      </c>
      <c r="I15" s="153">
        <f t="shared" si="0"/>
        <v>7.2</v>
      </c>
      <c r="J15" s="145"/>
      <c r="K15" s="107"/>
      <c r="L15" s="153" t="s">
        <v>198</v>
      </c>
      <c r="M15" s="166">
        <f>IF(ISERROR(VLOOKUP($L15,'Calc-Drivers'!$B$17:$G$27,M$42,FALSE))," ",VLOOKUP($L15,'Calc-Drivers'!$B$17:$G$27,M$42,FALSE))</f>
        <v>0.22063382481052818</v>
      </c>
      <c r="N15" s="166">
        <f>IF(ISERROR(VLOOKUP($L15,'Calc-Drivers'!$B$17:$G$27,N$42,FALSE))," ",VLOOKUP($L15,'Calc-Drivers'!$B$17:$G$27,N$42,FALSE))</f>
        <v>0.27826178252589195</v>
      </c>
      <c r="O15" s="166">
        <f>IF(ISERROR(VLOOKUP($L15,'Calc-Drivers'!$B$17:$G$27,O$42,FALSE))," ",VLOOKUP($L15,'Calc-Drivers'!$B$17:$G$27,O$42,FALSE))</f>
        <v>0.06810256034239837</v>
      </c>
      <c r="P15" s="166">
        <f>IF(ISERROR(VLOOKUP($L15,'Calc-Drivers'!$B$17:$G$27,P$42,FALSE))," ",VLOOKUP($L15,'Calc-Drivers'!$B$17:$G$27,P$42,FALSE))</f>
        <v>0.2723245981969643</v>
      </c>
      <c r="Q15" s="166">
        <f>IF(ISERROR(VLOOKUP($L15,'Calc-Drivers'!$B$17:$G$27,Q$42,FALSE))," ",VLOOKUP($L15,'Calc-Drivers'!$B$17:$G$27,Q$42,FALSE))</f>
        <v>0.1606772341242173</v>
      </c>
      <c r="R15" s="100"/>
      <c r="S15" s="101">
        <f t="shared" si="1"/>
        <v>1.588563538635803</v>
      </c>
      <c r="T15" s="101">
        <f t="shared" si="2"/>
        <v>2.003484834186422</v>
      </c>
      <c r="U15" s="101">
        <f t="shared" si="3"/>
        <v>0.49033843446526826</v>
      </c>
      <c r="V15" s="172">
        <f t="shared" si="4"/>
        <v>1.960737107018143</v>
      </c>
      <c r="W15" s="172">
        <f t="shared" si="4"/>
        <v>1.1568760856943647</v>
      </c>
      <c r="X15" s="108"/>
      <c r="Y15" s="101">
        <f t="shared" si="5"/>
        <v>1.588563538635803</v>
      </c>
      <c r="Z15" s="101">
        <f t="shared" si="6"/>
        <v>2.003484834186422</v>
      </c>
      <c r="AA15" s="101">
        <f t="shared" si="7"/>
        <v>0.49033843446526826</v>
      </c>
      <c r="AB15" s="172">
        <f t="shared" si="10"/>
        <v>1.960737107018143</v>
      </c>
      <c r="AC15" s="172">
        <f t="shared" si="10"/>
        <v>1.1568760856943647</v>
      </c>
      <c r="AD15" s="109"/>
      <c r="AE15" s="103">
        <f>IF(ISERROR(Y15*100000000/'Calc-Units'!$E$21)," ",Y15*100000000/'Calc-Units'!$E$21)</f>
        <v>0.012793804215454363</v>
      </c>
      <c r="AF15" s="103">
        <f>IF(ISERROR(Z15*100000000/'Calc-Units'!$D$21)," ",Z15*100000000/'Calc-Units'!$D$21)</f>
        <v>0.020840503475005944</v>
      </c>
      <c r="AG15" s="103">
        <f>IF(ISERROR(AA15*100000000/'Calc-Units'!$C$21)," ",AA15*100000000/'Calc-Units'!$C$21)</f>
        <v>0.006794963408033704</v>
      </c>
      <c r="AH15" s="287">
        <f>IF(ISERROR(AB15*100000000/'Calc-Units'!$C$21)," ",AB15*100000000/'Calc-Units'!$C$21)</f>
        <v>0.027171308546293148</v>
      </c>
      <c r="AI15" s="110"/>
      <c r="AJ15" s="106">
        <v>0.5257</v>
      </c>
      <c r="AK15" s="98">
        <f t="shared" si="8"/>
        <v>3.7850399999999995</v>
      </c>
      <c r="AL15" s="99">
        <f t="shared" si="9"/>
        <v>3.4149600000000007</v>
      </c>
      <c r="AM15" s="98"/>
      <c r="AN15" s="98"/>
      <c r="AO15" s="101">
        <f t="shared" si="11"/>
        <v>0.7534556863749614</v>
      </c>
      <c r="AP15" s="101">
        <f t="shared" si="12"/>
        <v>0.95025285685462</v>
      </c>
      <c r="AQ15" s="101">
        <f t="shared" si="13"/>
        <v>0.23256751946687676</v>
      </c>
      <c r="AR15" s="172">
        <f t="shared" si="14"/>
        <v>0.9299776098587054</v>
      </c>
      <c r="AS15" s="172">
        <f t="shared" si="14"/>
        <v>0.5487063274448373</v>
      </c>
      <c r="AT15" s="110"/>
      <c r="AU15" s="103">
        <f>IF(ISERROR(AO15*100000000/'Calc-Units'!$E$21)," ",AO15*100000000/'Calc-Units'!$E$21)</f>
        <v>0.006068101339390004</v>
      </c>
      <c r="AV15" s="103">
        <f>IF(ISERROR(AP15*100000000/'Calc-Units'!$D$21)," ",AP15*100000000/'Calc-Units'!$D$21)</f>
        <v>0.00988465079819532</v>
      </c>
      <c r="AW15" s="103">
        <f>IF(ISERROR(AQ15*100000000/'Calc-Units'!$C$21)," ",AQ15*100000000/'Calc-Units'!$C$21)</f>
        <v>0.003222851144430386</v>
      </c>
      <c r="AX15" s="287">
        <f>IF(ISERROR(AR15*100000000/'Calc-Units'!$C$21)," ",AR15*100000000/'Calc-Units'!$C$21)</f>
        <v>0.012887351643506843</v>
      </c>
      <c r="AZ15" s="108"/>
      <c r="BA15" s="108"/>
    </row>
    <row r="16" spans="1:53" s="111" customFormat="1" ht="12.75">
      <c r="A16" s="113"/>
      <c r="B16" s="112"/>
      <c r="C16" s="140" t="s">
        <v>592</v>
      </c>
      <c r="D16" s="153">
        <f>'RRP 1.3'!N$12</f>
        <v>1.9</v>
      </c>
      <c r="E16" s="153">
        <v>0</v>
      </c>
      <c r="F16" s="153">
        <v>0</v>
      </c>
      <c r="G16" s="153">
        <v>0</v>
      </c>
      <c r="H16" s="153">
        <v>0</v>
      </c>
      <c r="I16" s="153">
        <f t="shared" si="0"/>
        <v>1.9</v>
      </c>
      <c r="J16" s="145"/>
      <c r="K16" s="107"/>
      <c r="L16" s="153" t="s">
        <v>198</v>
      </c>
      <c r="M16" s="166">
        <f>IF(ISERROR(VLOOKUP($L16,'Calc-Drivers'!$B$17:$G$27,M$42,FALSE))," ",VLOOKUP($L16,'Calc-Drivers'!$B$17:$G$27,M$42,FALSE))</f>
        <v>0.22063382481052818</v>
      </c>
      <c r="N16" s="166">
        <f>IF(ISERROR(VLOOKUP($L16,'Calc-Drivers'!$B$17:$G$27,N$42,FALSE))," ",VLOOKUP($L16,'Calc-Drivers'!$B$17:$G$27,N$42,FALSE))</f>
        <v>0.27826178252589195</v>
      </c>
      <c r="O16" s="166">
        <f>IF(ISERROR(VLOOKUP($L16,'Calc-Drivers'!$B$17:$G$27,O$42,FALSE))," ",VLOOKUP($L16,'Calc-Drivers'!$B$17:$G$27,O$42,FALSE))</f>
        <v>0.06810256034239837</v>
      </c>
      <c r="P16" s="166">
        <f>IF(ISERROR(VLOOKUP($L16,'Calc-Drivers'!$B$17:$G$27,P$42,FALSE))," ",VLOOKUP($L16,'Calc-Drivers'!$B$17:$G$27,P$42,FALSE))</f>
        <v>0.2723245981969643</v>
      </c>
      <c r="Q16" s="166">
        <f>IF(ISERROR(VLOOKUP($L16,'Calc-Drivers'!$B$17:$G$27,Q$42,FALSE))," ",VLOOKUP($L16,'Calc-Drivers'!$B$17:$G$27,Q$42,FALSE))</f>
        <v>0.1606772341242173</v>
      </c>
      <c r="R16" s="100"/>
      <c r="S16" s="101">
        <f t="shared" si="1"/>
        <v>0.41920426714000353</v>
      </c>
      <c r="T16" s="101">
        <f t="shared" si="2"/>
        <v>0.5286973867991946</v>
      </c>
      <c r="U16" s="101">
        <f t="shared" si="3"/>
        <v>0.12939486465055688</v>
      </c>
      <c r="V16" s="172">
        <f t="shared" si="4"/>
        <v>0.5174167365742322</v>
      </c>
      <c r="W16" s="172">
        <f t="shared" si="4"/>
        <v>0.30528674483601287</v>
      </c>
      <c r="X16" s="108"/>
      <c r="Y16" s="101">
        <f t="shared" si="5"/>
        <v>0.41920426714000353</v>
      </c>
      <c r="Z16" s="101">
        <f t="shared" si="6"/>
        <v>0.5286973867991946</v>
      </c>
      <c r="AA16" s="101">
        <f t="shared" si="7"/>
        <v>0.12939486465055688</v>
      </c>
      <c r="AB16" s="172">
        <f t="shared" si="10"/>
        <v>0.5174167365742322</v>
      </c>
      <c r="AC16" s="172">
        <f t="shared" si="10"/>
        <v>0.30528674483601287</v>
      </c>
      <c r="AD16" s="109"/>
      <c r="AE16" s="103">
        <f>IF(ISERROR(Y16*100000000/'Calc-Units'!$E$21)," ",Y16*100000000/'Calc-Units'!$E$21)</f>
        <v>0.0033761427790782337</v>
      </c>
      <c r="AF16" s="103">
        <f>IF(ISERROR(Z16*100000000/'Calc-Units'!$D$21)," ",Z16*100000000/'Calc-Units'!$D$21)</f>
        <v>0.005499577305904346</v>
      </c>
      <c r="AG16" s="103">
        <f>IF(ISERROR(AA16*100000000/'Calc-Units'!$C$21)," ",AA16*100000000/'Calc-Units'!$C$21)</f>
        <v>0.001793115343786672</v>
      </c>
      <c r="AH16" s="287">
        <f>IF(ISERROR(AB16*100000000/'Calc-Units'!$C$21)," ",AB16*100000000/'Calc-Units'!$C$21)</f>
        <v>0.0071702064219384696</v>
      </c>
      <c r="AI16" s="110"/>
      <c r="AJ16" s="106">
        <v>0.5257</v>
      </c>
      <c r="AK16" s="98">
        <f t="shared" si="8"/>
        <v>0.9988299999999999</v>
      </c>
      <c r="AL16" s="99">
        <f t="shared" si="9"/>
        <v>0.90117</v>
      </c>
      <c r="AM16" s="98"/>
      <c r="AN16" s="98"/>
      <c r="AO16" s="101">
        <f t="shared" si="11"/>
        <v>0.1988285839045037</v>
      </c>
      <c r="AP16" s="101">
        <f t="shared" si="12"/>
        <v>0.25076117055885805</v>
      </c>
      <c r="AQ16" s="101">
        <f t="shared" si="13"/>
        <v>0.06137198430375914</v>
      </c>
      <c r="AR16" s="172">
        <f t="shared" si="14"/>
        <v>0.24541075815715835</v>
      </c>
      <c r="AS16" s="172">
        <f t="shared" si="14"/>
        <v>0.14479750307572092</v>
      </c>
      <c r="AT16" s="110"/>
      <c r="AU16" s="103">
        <f>IF(ISERROR(AO16*100000000/'Calc-Units'!$E$21)," ",AO16*100000000/'Calc-Units'!$E$21)</f>
        <v>0.0016013045201168066</v>
      </c>
      <c r="AV16" s="103">
        <f>IF(ISERROR(AP16*100000000/'Calc-Units'!$D$21)," ",AP16*100000000/'Calc-Units'!$D$21)</f>
        <v>0.0026084495161904316</v>
      </c>
      <c r="AW16" s="103">
        <f>IF(ISERROR(AQ16*100000000/'Calc-Units'!$C$21)," ",AQ16*100000000/'Calc-Units'!$C$21)</f>
        <v>0.0008504746075580186</v>
      </c>
      <c r="AX16" s="287">
        <f>IF(ISERROR(AR16*100000000/'Calc-Units'!$C$21)," ",AR16*100000000/'Calc-Units'!$C$21)</f>
        <v>0.0034008289059254166</v>
      </c>
      <c r="AZ16" s="108"/>
      <c r="BA16" s="108"/>
    </row>
    <row r="17" spans="1:53" s="111" customFormat="1" ht="12.75">
      <c r="A17" s="113"/>
      <c r="B17" s="112"/>
      <c r="C17" s="140" t="s">
        <v>593</v>
      </c>
      <c r="D17" s="153">
        <f>'RRP 1.3'!O$12</f>
        <v>1</v>
      </c>
      <c r="E17" s="153">
        <v>0</v>
      </c>
      <c r="F17" s="153">
        <v>0</v>
      </c>
      <c r="G17" s="153">
        <v>0</v>
      </c>
      <c r="H17" s="153">
        <v>0</v>
      </c>
      <c r="I17" s="153">
        <f t="shared" si="0"/>
        <v>1</v>
      </c>
      <c r="J17" s="145"/>
      <c r="K17" s="107"/>
      <c r="L17" s="153" t="s">
        <v>198</v>
      </c>
      <c r="M17" s="166">
        <f>IF(ISERROR(VLOOKUP($L17,'Calc-Drivers'!$B$17:$G$27,M$42,FALSE))," ",VLOOKUP($L17,'Calc-Drivers'!$B$17:$G$27,M$42,FALSE))</f>
        <v>0.22063382481052818</v>
      </c>
      <c r="N17" s="166">
        <f>IF(ISERROR(VLOOKUP($L17,'Calc-Drivers'!$B$17:$G$27,N$42,FALSE))," ",VLOOKUP($L17,'Calc-Drivers'!$B$17:$G$27,N$42,FALSE))</f>
        <v>0.27826178252589195</v>
      </c>
      <c r="O17" s="166">
        <f>IF(ISERROR(VLOOKUP($L17,'Calc-Drivers'!$B$17:$G$27,O$42,FALSE))," ",VLOOKUP($L17,'Calc-Drivers'!$B$17:$G$27,O$42,FALSE))</f>
        <v>0.06810256034239837</v>
      </c>
      <c r="P17" s="166">
        <f>IF(ISERROR(VLOOKUP($L17,'Calc-Drivers'!$B$17:$G$27,P$42,FALSE))," ",VLOOKUP($L17,'Calc-Drivers'!$B$17:$G$27,P$42,FALSE))</f>
        <v>0.2723245981969643</v>
      </c>
      <c r="Q17" s="166">
        <f>IF(ISERROR(VLOOKUP($L17,'Calc-Drivers'!$B$17:$G$27,Q$42,FALSE))," ",VLOOKUP($L17,'Calc-Drivers'!$B$17:$G$27,Q$42,FALSE))</f>
        <v>0.1606772341242173</v>
      </c>
      <c r="R17" s="100"/>
      <c r="S17" s="101">
        <f t="shared" si="1"/>
        <v>0.22063382481052818</v>
      </c>
      <c r="T17" s="101">
        <f t="shared" si="2"/>
        <v>0.27826178252589195</v>
      </c>
      <c r="U17" s="101">
        <f t="shared" si="3"/>
        <v>0.06810256034239837</v>
      </c>
      <c r="V17" s="172">
        <f t="shared" si="4"/>
        <v>0.2723245981969643</v>
      </c>
      <c r="W17" s="172">
        <f t="shared" si="4"/>
        <v>0.1606772341242173</v>
      </c>
      <c r="X17" s="108"/>
      <c r="Y17" s="101">
        <f t="shared" si="5"/>
        <v>0.22063382481052818</v>
      </c>
      <c r="Z17" s="101">
        <f t="shared" si="6"/>
        <v>0.27826178252589195</v>
      </c>
      <c r="AA17" s="101">
        <f t="shared" si="7"/>
        <v>0.06810256034239837</v>
      </c>
      <c r="AB17" s="172">
        <f t="shared" si="10"/>
        <v>0.2723245981969643</v>
      </c>
      <c r="AC17" s="172">
        <f t="shared" si="10"/>
        <v>0.1606772341242173</v>
      </c>
      <c r="AD17" s="109"/>
      <c r="AE17" s="103">
        <f>IF(ISERROR(Y17*100000000/'Calc-Units'!$E$21)," ",Y17*100000000/'Calc-Units'!$E$21)</f>
        <v>0.0017769172521464392</v>
      </c>
      <c r="AF17" s="103">
        <f>IF(ISERROR(Z17*100000000/'Calc-Units'!$D$21)," ",Z17*100000000/'Calc-Units'!$D$21)</f>
        <v>0.002894514371528604</v>
      </c>
      <c r="AG17" s="103">
        <f>IF(ISERROR(AA17*100000000/'Calc-Units'!$C$21)," ",AA17*100000000/'Calc-Units'!$C$21)</f>
        <v>0.0009437449177824589</v>
      </c>
      <c r="AH17" s="287">
        <f>IF(ISERROR(AB17*100000000/'Calc-Units'!$C$21)," ",AB17*100000000/'Calc-Units'!$C$21)</f>
        <v>0.0037737928536518265</v>
      </c>
      <c r="AI17" s="110"/>
      <c r="AJ17" s="106">
        <v>0.5257</v>
      </c>
      <c r="AK17" s="98">
        <f t="shared" si="8"/>
        <v>0.5257</v>
      </c>
      <c r="AL17" s="99">
        <f t="shared" si="9"/>
        <v>0.47430000000000005</v>
      </c>
      <c r="AM17" s="98"/>
      <c r="AN17" s="98"/>
      <c r="AO17" s="101">
        <f t="shared" si="11"/>
        <v>0.10464662310763352</v>
      </c>
      <c r="AP17" s="101">
        <f t="shared" si="12"/>
        <v>0.13197956345203057</v>
      </c>
      <c r="AQ17" s="101">
        <f t="shared" si="13"/>
        <v>0.032301044370399545</v>
      </c>
      <c r="AR17" s="172">
        <f t="shared" si="14"/>
        <v>0.12916355692482018</v>
      </c>
      <c r="AS17" s="172">
        <f t="shared" si="14"/>
        <v>0.07620921214511628</v>
      </c>
      <c r="AT17" s="110"/>
      <c r="AU17" s="103">
        <f>IF(ISERROR(AO17*100000000/'Calc-Units'!$E$21)," ",AO17*100000000/'Calc-Units'!$E$21)</f>
        <v>0.000842791852693056</v>
      </c>
      <c r="AV17" s="103">
        <f>IF(ISERROR(AP17*100000000/'Calc-Units'!$D$21)," ",AP17*100000000/'Calc-Units'!$D$21)</f>
        <v>0.0013728681664160168</v>
      </c>
      <c r="AW17" s="103">
        <f>IF(ISERROR(AQ17*100000000/'Calc-Units'!$C$21)," ",AQ17*100000000/'Calc-Units'!$C$21)</f>
        <v>0.00044761821450422026</v>
      </c>
      <c r="AX17" s="287">
        <f>IF(ISERROR(AR17*100000000/'Calc-Units'!$C$21)," ",AR17*100000000/'Calc-Units'!$C$21)</f>
        <v>0.0017899099504870614</v>
      </c>
      <c r="AZ17" s="108"/>
      <c r="BA17" s="108"/>
    </row>
    <row r="18" spans="1:53" s="111" customFormat="1" ht="12.75">
      <c r="A18" s="113"/>
      <c r="B18" s="112"/>
      <c r="C18" s="140" t="s">
        <v>784</v>
      </c>
      <c r="D18" s="153">
        <f>'RRP 1.3'!P$12</f>
        <v>0.7</v>
      </c>
      <c r="E18" s="153">
        <v>0</v>
      </c>
      <c r="F18" s="153">
        <v>0</v>
      </c>
      <c r="G18" s="153">
        <v>0</v>
      </c>
      <c r="H18" s="153">
        <v>0</v>
      </c>
      <c r="I18" s="153">
        <f t="shared" si="0"/>
        <v>0.7</v>
      </c>
      <c r="J18" s="145"/>
      <c r="K18" s="107"/>
      <c r="L18" s="153" t="s">
        <v>198</v>
      </c>
      <c r="M18" s="166">
        <f>IF(ISERROR(VLOOKUP($L18,'Calc-Drivers'!$B$17:$G$27,M$42,FALSE))," ",VLOOKUP($L18,'Calc-Drivers'!$B$17:$G$27,M$42,FALSE))</f>
        <v>0.22063382481052818</v>
      </c>
      <c r="N18" s="166">
        <f>IF(ISERROR(VLOOKUP($L18,'Calc-Drivers'!$B$17:$G$27,N$42,FALSE))," ",VLOOKUP($L18,'Calc-Drivers'!$B$17:$G$27,N$42,FALSE))</f>
        <v>0.27826178252589195</v>
      </c>
      <c r="O18" s="166">
        <f>IF(ISERROR(VLOOKUP($L18,'Calc-Drivers'!$B$17:$G$27,O$42,FALSE))," ",VLOOKUP($L18,'Calc-Drivers'!$B$17:$G$27,O$42,FALSE))</f>
        <v>0.06810256034239837</v>
      </c>
      <c r="P18" s="166">
        <f>IF(ISERROR(VLOOKUP($L18,'Calc-Drivers'!$B$17:$G$27,P$42,FALSE))," ",VLOOKUP($L18,'Calc-Drivers'!$B$17:$G$27,P$42,FALSE))</f>
        <v>0.2723245981969643</v>
      </c>
      <c r="Q18" s="166">
        <f>IF(ISERROR(VLOOKUP($L18,'Calc-Drivers'!$B$17:$G$27,Q$42,FALSE))," ",VLOOKUP($L18,'Calc-Drivers'!$B$17:$G$27,Q$42,FALSE))</f>
        <v>0.1606772341242173</v>
      </c>
      <c r="R18" s="100"/>
      <c r="S18" s="101">
        <f t="shared" si="1"/>
        <v>0.15444367736736972</v>
      </c>
      <c r="T18" s="101">
        <f t="shared" si="2"/>
        <v>0.19478324776812436</v>
      </c>
      <c r="U18" s="101">
        <f t="shared" si="3"/>
        <v>0.04767179223967885</v>
      </c>
      <c r="V18" s="172">
        <f t="shared" si="4"/>
        <v>0.190627218737875</v>
      </c>
      <c r="W18" s="172">
        <f t="shared" si="4"/>
        <v>0.11247406388695211</v>
      </c>
      <c r="X18" s="108"/>
      <c r="Y18" s="101">
        <f t="shared" si="5"/>
        <v>0.15444367736736972</v>
      </c>
      <c r="Z18" s="101">
        <f t="shared" si="6"/>
        <v>0.19478324776812436</v>
      </c>
      <c r="AA18" s="101">
        <f t="shared" si="7"/>
        <v>0.04767179223967885</v>
      </c>
      <c r="AB18" s="172">
        <f t="shared" si="10"/>
        <v>0.190627218737875</v>
      </c>
      <c r="AC18" s="172">
        <f t="shared" si="10"/>
        <v>0.11247406388695211</v>
      </c>
      <c r="AD18" s="109"/>
      <c r="AE18" s="103">
        <f>IF(ISERROR(Y18*100000000/'Calc-Units'!$E$21)," ",Y18*100000000/'Calc-Units'!$E$21)</f>
        <v>0.0012438420765025072</v>
      </c>
      <c r="AF18" s="103">
        <f>IF(ISERROR(Z18*100000000/'Calc-Units'!$D$21)," ",Z18*100000000/'Calc-Units'!$D$21)</f>
        <v>0.0020261600600700227</v>
      </c>
      <c r="AG18" s="103">
        <f>IF(ISERROR(AA18*100000000/'Calc-Units'!$C$21)," ",AA18*100000000/'Calc-Units'!$C$21)</f>
        <v>0.0006606214424477211</v>
      </c>
      <c r="AH18" s="287">
        <f>IF(ISERROR(AB18*100000000/'Calc-Units'!$C$21)," ",AB18*100000000/'Calc-Units'!$C$21)</f>
        <v>0.0026416549975562783</v>
      </c>
      <c r="AI18" s="110"/>
      <c r="AJ18" s="106">
        <v>0.5257</v>
      </c>
      <c r="AK18" s="98">
        <f t="shared" si="8"/>
        <v>0.36798999999999993</v>
      </c>
      <c r="AL18" s="99">
        <f t="shared" si="9"/>
        <v>0.33201</v>
      </c>
      <c r="AM18" s="98"/>
      <c r="AN18" s="98"/>
      <c r="AO18" s="101">
        <f t="shared" si="11"/>
        <v>0.07325263617534347</v>
      </c>
      <c r="AP18" s="101">
        <f t="shared" si="12"/>
        <v>0.0923856944164214</v>
      </c>
      <c r="AQ18" s="101">
        <f t="shared" si="13"/>
        <v>0.02261073105927968</v>
      </c>
      <c r="AR18" s="172">
        <f t="shared" si="14"/>
        <v>0.09041448984737412</v>
      </c>
      <c r="AS18" s="172">
        <f t="shared" si="14"/>
        <v>0.05334644850158139</v>
      </c>
      <c r="AT18" s="110"/>
      <c r="AU18" s="103">
        <f>IF(ISERROR(AO18*100000000/'Calc-Units'!$E$21)," ",AO18*100000000/'Calc-Units'!$E$21)</f>
        <v>0.0005899542968851393</v>
      </c>
      <c r="AV18" s="103">
        <f>IF(ISERROR(AP18*100000000/'Calc-Units'!$D$21)," ",AP18*100000000/'Calc-Units'!$D$21)</f>
        <v>0.0009610077164912119</v>
      </c>
      <c r="AW18" s="103">
        <f>IF(ISERROR(AQ18*100000000/'Calc-Units'!$C$21)," ",AQ18*100000000/'Calc-Units'!$C$21)</f>
        <v>0.0003133327501529542</v>
      </c>
      <c r="AX18" s="287">
        <f>IF(ISERROR(AR18*100000000/'Calc-Units'!$C$21)," ",AR18*100000000/'Calc-Units'!$C$21)</f>
        <v>0.0012529369653409427</v>
      </c>
      <c r="AZ18" s="108"/>
      <c r="BA18" s="108"/>
    </row>
    <row r="19" spans="1:53" s="111" customFormat="1" ht="12.75">
      <c r="A19" s="113"/>
      <c r="B19" s="112"/>
      <c r="C19" s="140" t="s">
        <v>785</v>
      </c>
      <c r="D19" s="153">
        <f>'RRP 1.3'!Q$12</f>
        <v>0.9</v>
      </c>
      <c r="E19" s="153">
        <v>0</v>
      </c>
      <c r="F19" s="153">
        <v>0</v>
      </c>
      <c r="G19" s="153">
        <v>0</v>
      </c>
      <c r="H19" s="153">
        <v>0</v>
      </c>
      <c r="I19" s="153">
        <f t="shared" si="0"/>
        <v>0.9</v>
      </c>
      <c r="J19" s="145"/>
      <c r="K19" s="107"/>
      <c r="L19" s="153" t="s">
        <v>198</v>
      </c>
      <c r="M19" s="166">
        <f>IF(ISERROR(VLOOKUP($L19,'Calc-Drivers'!$B$17:$G$27,M$42,FALSE))," ",VLOOKUP($L19,'Calc-Drivers'!$B$17:$G$27,M$42,FALSE))</f>
        <v>0.22063382481052818</v>
      </c>
      <c r="N19" s="166">
        <f>IF(ISERROR(VLOOKUP($L19,'Calc-Drivers'!$B$17:$G$27,N$42,FALSE))," ",VLOOKUP($L19,'Calc-Drivers'!$B$17:$G$27,N$42,FALSE))</f>
        <v>0.27826178252589195</v>
      </c>
      <c r="O19" s="166">
        <f>IF(ISERROR(VLOOKUP($L19,'Calc-Drivers'!$B$17:$G$27,O$42,FALSE))," ",VLOOKUP($L19,'Calc-Drivers'!$B$17:$G$27,O$42,FALSE))</f>
        <v>0.06810256034239837</v>
      </c>
      <c r="P19" s="166">
        <f>IF(ISERROR(VLOOKUP($L19,'Calc-Drivers'!$B$17:$G$27,P$42,FALSE))," ",VLOOKUP($L19,'Calc-Drivers'!$B$17:$G$27,P$42,FALSE))</f>
        <v>0.2723245981969643</v>
      </c>
      <c r="Q19" s="166">
        <f>IF(ISERROR(VLOOKUP($L19,'Calc-Drivers'!$B$17:$G$27,Q$42,FALSE))," ",VLOOKUP($L19,'Calc-Drivers'!$B$17:$G$27,Q$42,FALSE))</f>
        <v>0.1606772341242173</v>
      </c>
      <c r="R19" s="100"/>
      <c r="S19" s="101">
        <f t="shared" si="1"/>
        <v>0.19857044232947538</v>
      </c>
      <c r="T19" s="101">
        <f t="shared" si="2"/>
        <v>0.25043560427330275</v>
      </c>
      <c r="U19" s="101">
        <f t="shared" si="3"/>
        <v>0.06129230430815853</v>
      </c>
      <c r="V19" s="172">
        <f t="shared" si="4"/>
        <v>0.24509213837726787</v>
      </c>
      <c r="W19" s="172">
        <f t="shared" si="4"/>
        <v>0.1446095107117956</v>
      </c>
      <c r="X19" s="108"/>
      <c r="Y19" s="101">
        <f t="shared" si="5"/>
        <v>0.19857044232947538</v>
      </c>
      <c r="Z19" s="101">
        <f t="shared" si="6"/>
        <v>0.25043560427330275</v>
      </c>
      <c r="AA19" s="101">
        <f t="shared" si="7"/>
        <v>0.06129230430815853</v>
      </c>
      <c r="AB19" s="172">
        <f t="shared" si="10"/>
        <v>0.24509213837726787</v>
      </c>
      <c r="AC19" s="172">
        <f t="shared" si="10"/>
        <v>0.1446095107117956</v>
      </c>
      <c r="AD19" s="109"/>
      <c r="AE19" s="103">
        <f>IF(ISERROR(Y19*100000000/'Calc-Units'!$E$21)," ",Y19*100000000/'Calc-Units'!$E$21)</f>
        <v>0.0015992255269317954</v>
      </c>
      <c r="AF19" s="103">
        <f>IF(ISERROR(Z19*100000000/'Calc-Units'!$D$21)," ",Z19*100000000/'Calc-Units'!$D$21)</f>
        <v>0.002605062934375743</v>
      </c>
      <c r="AG19" s="103">
        <f>IF(ISERROR(AA19*100000000/'Calc-Units'!$C$21)," ",AA19*100000000/'Calc-Units'!$C$21)</f>
        <v>0.000849370426004213</v>
      </c>
      <c r="AH19" s="287">
        <f>IF(ISERROR(AB19*100000000/'Calc-Units'!$C$21)," ",AB19*100000000/'Calc-Units'!$C$21)</f>
        <v>0.0033964135682866435</v>
      </c>
      <c r="AI19" s="110"/>
      <c r="AJ19" s="106">
        <v>0.5257</v>
      </c>
      <c r="AK19" s="98">
        <f t="shared" si="8"/>
        <v>0.47312999999999994</v>
      </c>
      <c r="AL19" s="99">
        <f t="shared" si="9"/>
        <v>0.4268700000000001</v>
      </c>
      <c r="AM19" s="98"/>
      <c r="AN19" s="98"/>
      <c r="AO19" s="101">
        <f t="shared" si="11"/>
        <v>0.09418196079687018</v>
      </c>
      <c r="AP19" s="101">
        <f t="shared" si="12"/>
        <v>0.1187816071068275</v>
      </c>
      <c r="AQ19" s="101">
        <f t="shared" si="13"/>
        <v>0.029070939933359595</v>
      </c>
      <c r="AR19" s="172">
        <f t="shared" si="14"/>
        <v>0.11624720123233817</v>
      </c>
      <c r="AS19" s="172">
        <f t="shared" si="14"/>
        <v>0.06858829093060466</v>
      </c>
      <c r="AT19" s="110"/>
      <c r="AU19" s="103">
        <f>IF(ISERROR(AO19*100000000/'Calc-Units'!$E$21)," ",AO19*100000000/'Calc-Units'!$E$21)</f>
        <v>0.0007585126674237505</v>
      </c>
      <c r="AV19" s="103">
        <f>IF(ISERROR(AP19*100000000/'Calc-Units'!$D$21)," ",AP19*100000000/'Calc-Units'!$D$21)</f>
        <v>0.001235581349774415</v>
      </c>
      <c r="AW19" s="103">
        <f>IF(ISERROR(AQ19*100000000/'Calc-Units'!$C$21)," ",AQ19*100000000/'Calc-Units'!$C$21)</f>
        <v>0.00040285639305379827</v>
      </c>
      <c r="AX19" s="287">
        <f>IF(ISERROR(AR19*100000000/'Calc-Units'!$C$21)," ",AR19*100000000/'Calc-Units'!$C$21)</f>
        <v>0.0016109189554383554</v>
      </c>
      <c r="AZ19" s="108"/>
      <c r="BA19" s="108"/>
    </row>
    <row r="20" spans="1:53" s="111" customFormat="1" ht="12.75">
      <c r="A20" s="113"/>
      <c r="B20" s="112"/>
      <c r="C20" s="140" t="s">
        <v>471</v>
      </c>
      <c r="D20" s="153">
        <f>'RRP 1.3'!R$12</f>
        <v>2.7</v>
      </c>
      <c r="E20" s="153">
        <v>0</v>
      </c>
      <c r="F20" s="153">
        <v>0</v>
      </c>
      <c r="G20" s="153">
        <v>0</v>
      </c>
      <c r="H20" s="153">
        <v>0</v>
      </c>
      <c r="I20" s="153">
        <f t="shared" si="0"/>
        <v>2.7</v>
      </c>
      <c r="J20" s="145"/>
      <c r="K20" s="107"/>
      <c r="L20" s="153" t="s">
        <v>198</v>
      </c>
      <c r="M20" s="166">
        <f>IF(ISERROR(VLOOKUP($L20,'Calc-Drivers'!$B$17:$G$27,M$42,FALSE))," ",VLOOKUP($L20,'Calc-Drivers'!$B$17:$G$27,M$42,FALSE))</f>
        <v>0.22063382481052818</v>
      </c>
      <c r="N20" s="166">
        <f>IF(ISERROR(VLOOKUP($L20,'Calc-Drivers'!$B$17:$G$27,N$42,FALSE))," ",VLOOKUP($L20,'Calc-Drivers'!$B$17:$G$27,N$42,FALSE))</f>
        <v>0.27826178252589195</v>
      </c>
      <c r="O20" s="166">
        <f>IF(ISERROR(VLOOKUP($L20,'Calc-Drivers'!$B$17:$G$27,O$42,FALSE))," ",VLOOKUP($L20,'Calc-Drivers'!$B$17:$G$27,O$42,FALSE))</f>
        <v>0.06810256034239837</v>
      </c>
      <c r="P20" s="166">
        <f>IF(ISERROR(VLOOKUP($L20,'Calc-Drivers'!$B$17:$G$27,P$42,FALSE))," ",VLOOKUP($L20,'Calc-Drivers'!$B$17:$G$27,P$42,FALSE))</f>
        <v>0.2723245981969643</v>
      </c>
      <c r="Q20" s="166">
        <f>IF(ISERROR(VLOOKUP($L20,'Calc-Drivers'!$B$17:$G$27,Q$42,FALSE))," ",VLOOKUP($L20,'Calc-Drivers'!$B$17:$G$27,Q$42,FALSE))</f>
        <v>0.1606772341242173</v>
      </c>
      <c r="R20" s="100"/>
      <c r="S20" s="101">
        <f t="shared" si="1"/>
        <v>0.5957113269884261</v>
      </c>
      <c r="T20" s="101">
        <f t="shared" si="2"/>
        <v>0.7513068128199083</v>
      </c>
      <c r="U20" s="101">
        <f t="shared" si="3"/>
        <v>0.1838769129244756</v>
      </c>
      <c r="V20" s="172">
        <f t="shared" si="4"/>
        <v>0.7352764151318036</v>
      </c>
      <c r="W20" s="172">
        <f t="shared" si="4"/>
        <v>0.43382853213538675</v>
      </c>
      <c r="X20" s="108"/>
      <c r="Y20" s="101">
        <f t="shared" si="5"/>
        <v>0.5957113269884261</v>
      </c>
      <c r="Z20" s="101">
        <f t="shared" si="6"/>
        <v>0.7513068128199083</v>
      </c>
      <c r="AA20" s="101">
        <f t="shared" si="7"/>
        <v>0.1838769129244756</v>
      </c>
      <c r="AB20" s="172">
        <f t="shared" si="10"/>
        <v>0.7352764151318036</v>
      </c>
      <c r="AC20" s="172">
        <f t="shared" si="10"/>
        <v>0.43382853213538675</v>
      </c>
      <c r="AD20" s="109"/>
      <c r="AE20" s="103">
        <f>IF(ISERROR(Y20*100000000/'Calc-Units'!$E$21)," ",Y20*100000000/'Calc-Units'!$E$21)</f>
        <v>0.004797676580795385</v>
      </c>
      <c r="AF20" s="103">
        <f>IF(ISERROR(Z20*100000000/'Calc-Units'!$D$21)," ",Z20*100000000/'Calc-Units'!$D$21)</f>
        <v>0.007815188803127229</v>
      </c>
      <c r="AG20" s="103">
        <f>IF(ISERROR(AA20*100000000/'Calc-Units'!$C$21)," ",AA20*100000000/'Calc-Units'!$C$21)</f>
        <v>0.002548111278012639</v>
      </c>
      <c r="AH20" s="287">
        <f>IF(ISERROR(AB20*100000000/'Calc-Units'!$C$21)," ",AB20*100000000/'Calc-Units'!$C$21)</f>
        <v>0.010189240704859931</v>
      </c>
      <c r="AI20" s="110"/>
      <c r="AJ20" s="106">
        <v>0.5257</v>
      </c>
      <c r="AK20" s="98">
        <f t="shared" si="8"/>
        <v>1.41939</v>
      </c>
      <c r="AL20" s="99">
        <f t="shared" si="9"/>
        <v>1.2806100000000002</v>
      </c>
      <c r="AM20" s="98"/>
      <c r="AN20" s="98"/>
      <c r="AO20" s="101">
        <f t="shared" si="11"/>
        <v>0.2825458823906105</v>
      </c>
      <c r="AP20" s="101">
        <f t="shared" si="12"/>
        <v>0.35634482132048256</v>
      </c>
      <c r="AQ20" s="101">
        <f t="shared" si="13"/>
        <v>0.08721281980007879</v>
      </c>
      <c r="AR20" s="172">
        <f t="shared" si="14"/>
        <v>0.3487416036970145</v>
      </c>
      <c r="AS20" s="172">
        <f t="shared" si="14"/>
        <v>0.20576487279181396</v>
      </c>
      <c r="AT20" s="110"/>
      <c r="AU20" s="103">
        <f>IF(ISERROR(AO20*100000000/'Calc-Units'!$E$21)," ",AO20*100000000/'Calc-Units'!$E$21)</f>
        <v>0.0022755380022712515</v>
      </c>
      <c r="AV20" s="103">
        <f>IF(ISERROR(AP20*100000000/'Calc-Units'!$D$21)," ",AP20*100000000/'Calc-Units'!$D$21)</f>
        <v>0.0037067440493232457</v>
      </c>
      <c r="AW20" s="103">
        <f>IF(ISERROR(AQ20*100000000/'Calc-Units'!$C$21)," ",AQ20*100000000/'Calc-Units'!$C$21)</f>
        <v>0.001208569179161395</v>
      </c>
      <c r="AX20" s="287">
        <f>IF(ISERROR(AR20*100000000/'Calc-Units'!$C$21)," ",AR20*100000000/'Calc-Units'!$C$21)</f>
        <v>0.004832756866315066</v>
      </c>
      <c r="AZ20" s="108"/>
      <c r="BA20" s="108"/>
    </row>
    <row r="21" spans="1:53" s="111" customFormat="1" ht="12.75">
      <c r="A21" s="113"/>
      <c r="B21" s="112"/>
      <c r="C21" s="140" t="s">
        <v>347</v>
      </c>
      <c r="D21" s="153">
        <f>'RRP 1.3'!S$12</f>
        <v>6.8</v>
      </c>
      <c r="E21" s="153">
        <v>0</v>
      </c>
      <c r="F21" s="153">
        <v>0</v>
      </c>
      <c r="G21" s="153">
        <v>0</v>
      </c>
      <c r="H21" s="153">
        <v>0</v>
      </c>
      <c r="I21" s="153">
        <f t="shared" si="0"/>
        <v>6.8</v>
      </c>
      <c r="J21" s="145"/>
      <c r="K21" s="107"/>
      <c r="L21" s="153" t="s">
        <v>183</v>
      </c>
      <c r="M21" s="166" t="str">
        <f>IF(ISERROR(VLOOKUP($L21,'Calc-Drivers'!$B$17:$G$27,M$42,FALSE))," ",VLOOKUP($L21,'Calc-Drivers'!$B$17:$G$27,M$42,FALSE))</f>
        <v> </v>
      </c>
      <c r="N21" s="166" t="str">
        <f>IF(ISERROR(VLOOKUP($L21,'Calc-Drivers'!$B$17:$G$27,N$42,FALSE))," ",VLOOKUP($L21,'Calc-Drivers'!$B$17:$G$27,N$42,FALSE))</f>
        <v> </v>
      </c>
      <c r="O21" s="166" t="str">
        <f>IF(ISERROR(VLOOKUP($L21,'Calc-Drivers'!$B$17:$G$27,O$42,FALSE))," ",VLOOKUP($L21,'Calc-Drivers'!$B$17:$G$27,O$42,FALSE))</f>
        <v> </v>
      </c>
      <c r="P21" s="166" t="str">
        <f>IF(ISERROR(VLOOKUP($L21,'Calc-Drivers'!$B$17:$G$27,P$42,FALSE))," ",VLOOKUP($L21,'Calc-Drivers'!$B$17:$G$27,P$42,FALSE))</f>
        <v> </v>
      </c>
      <c r="Q21" s="166" t="str">
        <f>IF(ISERROR(VLOOKUP($L21,'Calc-Drivers'!$B$17:$G$27,Q$42,FALSE))," ",VLOOKUP($L21,'Calc-Drivers'!$B$17:$G$27,Q$42,FALSE))</f>
        <v> </v>
      </c>
      <c r="R21" s="100"/>
      <c r="S21" s="101" t="str">
        <f t="shared" si="1"/>
        <v> </v>
      </c>
      <c r="T21" s="101" t="str">
        <f t="shared" si="2"/>
        <v> </v>
      </c>
      <c r="U21" s="101" t="str">
        <f t="shared" si="3"/>
        <v> </v>
      </c>
      <c r="V21" s="172" t="str">
        <f t="shared" si="4"/>
        <v> </v>
      </c>
      <c r="W21" s="172" t="str">
        <f t="shared" si="4"/>
        <v> </v>
      </c>
      <c r="X21" s="108"/>
      <c r="Y21" s="101" t="str">
        <f t="shared" si="5"/>
        <v> </v>
      </c>
      <c r="Z21" s="101" t="str">
        <f t="shared" si="6"/>
        <v> </v>
      </c>
      <c r="AA21" s="101" t="str">
        <f t="shared" si="7"/>
        <v> </v>
      </c>
      <c r="AB21" s="172" t="str">
        <f t="shared" si="10"/>
        <v> </v>
      </c>
      <c r="AC21" s="172" t="str">
        <f t="shared" si="10"/>
        <v> </v>
      </c>
      <c r="AD21" s="109"/>
      <c r="AE21" s="103" t="str">
        <f>IF(ISERROR(Y21*100000000/'Calc-Units'!$E$21)," ",Y21*100000000/'Calc-Units'!$E$21)</f>
        <v> </v>
      </c>
      <c r="AF21" s="103" t="str">
        <f>IF(ISERROR(Z21*100000000/'Calc-Units'!$D$21)," ",Z21*100000000/'Calc-Units'!$D$21)</f>
        <v> </v>
      </c>
      <c r="AG21" s="103" t="str">
        <f>IF(ISERROR(AA21*100000000/'Calc-Units'!$C$21)," ",AA21*100000000/'Calc-Units'!$C$21)</f>
        <v> </v>
      </c>
      <c r="AH21" s="287" t="str">
        <f>IF(ISERROR(AB21*100000000/'Calc-Units'!$C$21)," ",AB21*100000000/'Calc-Units'!$C$21)</f>
        <v> </v>
      </c>
      <c r="AI21" s="110"/>
      <c r="AJ21" s="106">
        <v>0.5257</v>
      </c>
      <c r="AK21" s="98">
        <f t="shared" si="8"/>
        <v>3.5747599999999995</v>
      </c>
      <c r="AL21" s="99">
        <f t="shared" si="9"/>
        <v>3.2252400000000003</v>
      </c>
      <c r="AM21" s="98"/>
      <c r="AN21" s="98"/>
      <c r="AO21" s="101" t="str">
        <f t="shared" si="11"/>
        <v> </v>
      </c>
      <c r="AP21" s="101" t="str">
        <f t="shared" si="12"/>
        <v> </v>
      </c>
      <c r="AQ21" s="101" t="str">
        <f t="shared" si="13"/>
        <v> </v>
      </c>
      <c r="AR21" s="172" t="str">
        <f t="shared" si="14"/>
        <v> </v>
      </c>
      <c r="AS21" s="172" t="str">
        <f t="shared" si="14"/>
        <v> </v>
      </c>
      <c r="AT21" s="110"/>
      <c r="AU21" s="103" t="str">
        <f>IF(ISERROR(AO21*100000000/'Calc-Units'!$E$21)," ",AO21*100000000/'Calc-Units'!$E$21)</f>
        <v> </v>
      </c>
      <c r="AV21" s="103" t="str">
        <f>IF(ISERROR(AP21*100000000/'Calc-Units'!$D$21)," ",AP21*100000000/'Calc-Units'!$D$21)</f>
        <v> </v>
      </c>
      <c r="AW21" s="103" t="str">
        <f>IF(ISERROR(AQ21*100000000/'Calc-Units'!$C$21)," ",AQ21*100000000/'Calc-Units'!$C$21)</f>
        <v> </v>
      </c>
      <c r="AX21" s="287" t="str">
        <f>IF(ISERROR(AR21*100000000/'Calc-Units'!$C$21)," ",AR21*100000000/'Calc-Units'!$C$21)</f>
        <v> </v>
      </c>
      <c r="AZ21" s="108"/>
      <c r="BA21" s="108"/>
    </row>
    <row r="22" spans="1:53" s="111" customFormat="1" ht="12.75">
      <c r="A22" s="113"/>
      <c r="B22" s="112"/>
      <c r="C22" s="140" t="s">
        <v>470</v>
      </c>
      <c r="D22" s="153">
        <f>'RRP 1.3'!T$12</f>
        <v>2.1</v>
      </c>
      <c r="E22" s="153">
        <v>0</v>
      </c>
      <c r="F22" s="153">
        <v>0</v>
      </c>
      <c r="G22" s="153">
        <v>0</v>
      </c>
      <c r="H22" s="153">
        <v>0</v>
      </c>
      <c r="I22" s="153">
        <f t="shared" si="0"/>
        <v>2.1</v>
      </c>
      <c r="J22" s="145"/>
      <c r="K22" s="107"/>
      <c r="L22" s="153" t="s">
        <v>183</v>
      </c>
      <c r="M22" s="166" t="str">
        <f>IF(ISERROR(VLOOKUP($L22,'Calc-Drivers'!$B$17:$G$27,M$42,FALSE))," ",VLOOKUP($L22,'Calc-Drivers'!$B$17:$G$27,M$42,FALSE))</f>
        <v> </v>
      </c>
      <c r="N22" s="166" t="str">
        <f>IF(ISERROR(VLOOKUP($L22,'Calc-Drivers'!$B$17:$G$27,N$42,FALSE))," ",VLOOKUP($L22,'Calc-Drivers'!$B$17:$G$27,N$42,FALSE))</f>
        <v> </v>
      </c>
      <c r="O22" s="166" t="str">
        <f>IF(ISERROR(VLOOKUP($L22,'Calc-Drivers'!$B$17:$G$27,O$42,FALSE))," ",VLOOKUP($L22,'Calc-Drivers'!$B$17:$G$27,O$42,FALSE))</f>
        <v> </v>
      </c>
      <c r="P22" s="166" t="str">
        <f>IF(ISERROR(VLOOKUP($L22,'Calc-Drivers'!$B$17:$G$27,P$42,FALSE))," ",VLOOKUP($L22,'Calc-Drivers'!$B$17:$G$27,P$42,FALSE))</f>
        <v> </v>
      </c>
      <c r="Q22" s="166" t="str">
        <f>IF(ISERROR(VLOOKUP($L22,'Calc-Drivers'!$B$17:$G$27,Q$42,FALSE))," ",VLOOKUP($L22,'Calc-Drivers'!$B$17:$G$27,Q$42,FALSE))</f>
        <v> </v>
      </c>
      <c r="R22" s="100"/>
      <c r="S22" s="101" t="str">
        <f t="shared" si="1"/>
        <v> </v>
      </c>
      <c r="T22" s="101" t="str">
        <f t="shared" si="2"/>
        <v> </v>
      </c>
      <c r="U22" s="101" t="str">
        <f t="shared" si="3"/>
        <v> </v>
      </c>
      <c r="V22" s="172" t="str">
        <f t="shared" si="4"/>
        <v> </v>
      </c>
      <c r="W22" s="172" t="str">
        <f t="shared" si="4"/>
        <v> </v>
      </c>
      <c r="X22" s="108"/>
      <c r="Y22" s="101" t="str">
        <f t="shared" si="5"/>
        <v> </v>
      </c>
      <c r="Z22" s="101" t="str">
        <f t="shared" si="6"/>
        <v> </v>
      </c>
      <c r="AA22" s="101" t="str">
        <f t="shared" si="7"/>
        <v> </v>
      </c>
      <c r="AB22" s="172" t="str">
        <f t="shared" si="10"/>
        <v> </v>
      </c>
      <c r="AC22" s="172" t="str">
        <f t="shared" si="10"/>
        <v> </v>
      </c>
      <c r="AD22" s="109"/>
      <c r="AE22" s="103" t="str">
        <f>IF(ISERROR(Y22*100000000/'Calc-Units'!$E$21)," ",Y22*100000000/'Calc-Units'!$E$21)</f>
        <v> </v>
      </c>
      <c r="AF22" s="103" t="str">
        <f>IF(ISERROR(Z22*100000000/'Calc-Units'!$D$21)," ",Z22*100000000/'Calc-Units'!$D$21)</f>
        <v> </v>
      </c>
      <c r="AG22" s="103" t="str">
        <f>IF(ISERROR(AA22*100000000/'Calc-Units'!$C$21)," ",AA22*100000000/'Calc-Units'!$C$21)</f>
        <v> </v>
      </c>
      <c r="AH22" s="287" t="str">
        <f>IF(ISERROR(AB22*100000000/'Calc-Units'!$C$21)," ",AB22*100000000/'Calc-Units'!$C$21)</f>
        <v> </v>
      </c>
      <c r="AI22" s="110"/>
      <c r="AJ22" s="106">
        <v>0.5257</v>
      </c>
      <c r="AK22" s="98">
        <f t="shared" si="8"/>
        <v>1.10397</v>
      </c>
      <c r="AL22" s="99">
        <f t="shared" si="9"/>
        <v>0.9960300000000002</v>
      </c>
      <c r="AM22" s="98"/>
      <c r="AN22" s="98"/>
      <c r="AO22" s="101" t="str">
        <f t="shared" si="11"/>
        <v> </v>
      </c>
      <c r="AP22" s="101" t="str">
        <f t="shared" si="12"/>
        <v> </v>
      </c>
      <c r="AQ22" s="101" t="str">
        <f t="shared" si="13"/>
        <v> </v>
      </c>
      <c r="AR22" s="172" t="str">
        <f t="shared" si="14"/>
        <v> </v>
      </c>
      <c r="AS22" s="172" t="str">
        <f t="shared" si="14"/>
        <v> </v>
      </c>
      <c r="AT22" s="110"/>
      <c r="AU22" s="103" t="str">
        <f>IF(ISERROR(AO22*100000000/'Calc-Units'!$E$21)," ",AO22*100000000/'Calc-Units'!$E$21)</f>
        <v> </v>
      </c>
      <c r="AV22" s="103" t="str">
        <f>IF(ISERROR(AP22*100000000/'Calc-Units'!$D$21)," ",AP22*100000000/'Calc-Units'!$D$21)</f>
        <v> </v>
      </c>
      <c r="AW22" s="103" t="str">
        <f>IF(ISERROR(AQ22*100000000/'Calc-Units'!$C$21)," ",AQ22*100000000/'Calc-Units'!$C$21)</f>
        <v> </v>
      </c>
      <c r="AX22" s="287" t="str">
        <f>IF(ISERROR(AR22*100000000/'Calc-Units'!$C$21)," ",AR22*100000000/'Calc-Units'!$C$21)</f>
        <v> </v>
      </c>
      <c r="AZ22" s="108"/>
      <c r="BA22" s="108"/>
    </row>
    <row r="23" spans="1:53" s="111" customFormat="1" ht="12.75">
      <c r="A23" s="113"/>
      <c r="B23" s="112"/>
      <c r="C23" s="140" t="s">
        <v>602</v>
      </c>
      <c r="D23" s="153">
        <f>'RRP 1.3'!U$12</f>
        <v>0.9</v>
      </c>
      <c r="E23" s="153">
        <v>0</v>
      </c>
      <c r="F23" s="153">
        <v>0</v>
      </c>
      <c r="G23" s="153">
        <v>0</v>
      </c>
      <c r="H23" s="153">
        <v>0</v>
      </c>
      <c r="I23" s="153">
        <f t="shared" si="0"/>
        <v>0.9</v>
      </c>
      <c r="J23" s="145"/>
      <c r="K23" s="107"/>
      <c r="L23" s="153" t="s">
        <v>198</v>
      </c>
      <c r="M23" s="166">
        <f>IF(ISERROR(VLOOKUP($L23,'Calc-Drivers'!$B$17:$G$27,M$42,FALSE))," ",VLOOKUP($L23,'Calc-Drivers'!$B$17:$G$27,M$42,FALSE))</f>
        <v>0.22063382481052818</v>
      </c>
      <c r="N23" s="166">
        <f>IF(ISERROR(VLOOKUP($L23,'Calc-Drivers'!$B$17:$G$27,N$42,FALSE))," ",VLOOKUP($L23,'Calc-Drivers'!$B$17:$G$27,N$42,FALSE))</f>
        <v>0.27826178252589195</v>
      </c>
      <c r="O23" s="166">
        <f>IF(ISERROR(VLOOKUP($L23,'Calc-Drivers'!$B$17:$G$27,O$42,FALSE))," ",VLOOKUP($L23,'Calc-Drivers'!$B$17:$G$27,O$42,FALSE))</f>
        <v>0.06810256034239837</v>
      </c>
      <c r="P23" s="166">
        <f>IF(ISERROR(VLOOKUP($L23,'Calc-Drivers'!$B$17:$G$27,P$42,FALSE))," ",VLOOKUP($L23,'Calc-Drivers'!$B$17:$G$27,P$42,FALSE))</f>
        <v>0.2723245981969643</v>
      </c>
      <c r="Q23" s="166">
        <f>IF(ISERROR(VLOOKUP($L23,'Calc-Drivers'!$B$17:$G$27,Q$42,FALSE))," ",VLOOKUP($L23,'Calc-Drivers'!$B$17:$G$27,Q$42,FALSE))</f>
        <v>0.1606772341242173</v>
      </c>
      <c r="R23" s="100"/>
      <c r="S23" s="101">
        <f t="shared" si="1"/>
        <v>0.19857044232947538</v>
      </c>
      <c r="T23" s="101">
        <f t="shared" si="2"/>
        <v>0.25043560427330275</v>
      </c>
      <c r="U23" s="101">
        <f t="shared" si="3"/>
        <v>0.06129230430815853</v>
      </c>
      <c r="V23" s="172">
        <f t="shared" si="4"/>
        <v>0.24509213837726787</v>
      </c>
      <c r="W23" s="172">
        <f t="shared" si="4"/>
        <v>0.1446095107117956</v>
      </c>
      <c r="X23" s="108"/>
      <c r="Y23" s="101">
        <f t="shared" si="5"/>
        <v>0.19857044232947538</v>
      </c>
      <c r="Z23" s="101">
        <f t="shared" si="6"/>
        <v>0.25043560427330275</v>
      </c>
      <c r="AA23" s="101">
        <f t="shared" si="7"/>
        <v>0.06129230430815853</v>
      </c>
      <c r="AB23" s="172">
        <f t="shared" si="10"/>
        <v>0.24509213837726787</v>
      </c>
      <c r="AC23" s="172">
        <f t="shared" si="10"/>
        <v>0.1446095107117956</v>
      </c>
      <c r="AD23" s="109"/>
      <c r="AE23" s="103">
        <f>IF(ISERROR(Y23*100000000/'Calc-Units'!$E$21)," ",Y23*100000000/'Calc-Units'!$E$21)</f>
        <v>0.0015992255269317954</v>
      </c>
      <c r="AF23" s="103">
        <f>IF(ISERROR(Z23*100000000/'Calc-Units'!$D$21)," ",Z23*100000000/'Calc-Units'!$D$21)</f>
        <v>0.002605062934375743</v>
      </c>
      <c r="AG23" s="103">
        <f>IF(ISERROR(AA23*100000000/'Calc-Units'!$C$21)," ",AA23*100000000/'Calc-Units'!$C$21)</f>
        <v>0.000849370426004213</v>
      </c>
      <c r="AH23" s="287">
        <f>IF(ISERROR(AB23*100000000/'Calc-Units'!$C$21)," ",AB23*100000000/'Calc-Units'!$C$21)</f>
        <v>0.0033964135682866435</v>
      </c>
      <c r="AI23" s="110"/>
      <c r="AJ23" s="106">
        <v>0.5257</v>
      </c>
      <c r="AK23" s="98">
        <f t="shared" si="8"/>
        <v>0.47312999999999994</v>
      </c>
      <c r="AL23" s="99">
        <f t="shared" si="9"/>
        <v>0.4268700000000001</v>
      </c>
      <c r="AM23" s="98"/>
      <c r="AN23" s="98"/>
      <c r="AO23" s="101">
        <f t="shared" si="11"/>
        <v>0.09418196079687018</v>
      </c>
      <c r="AP23" s="101">
        <f t="shared" si="12"/>
        <v>0.1187816071068275</v>
      </c>
      <c r="AQ23" s="101">
        <f t="shared" si="13"/>
        <v>0.029070939933359595</v>
      </c>
      <c r="AR23" s="172">
        <f t="shared" si="14"/>
        <v>0.11624720123233817</v>
      </c>
      <c r="AS23" s="172">
        <f t="shared" si="14"/>
        <v>0.06858829093060466</v>
      </c>
      <c r="AT23" s="110"/>
      <c r="AU23" s="103">
        <f>IF(ISERROR(AO23*100000000/'Calc-Units'!$E$21)," ",AO23*100000000/'Calc-Units'!$E$21)</f>
        <v>0.0007585126674237505</v>
      </c>
      <c r="AV23" s="103">
        <f>IF(ISERROR(AP23*100000000/'Calc-Units'!$D$21)," ",AP23*100000000/'Calc-Units'!$D$21)</f>
        <v>0.001235581349774415</v>
      </c>
      <c r="AW23" s="103">
        <f>IF(ISERROR(AQ23*100000000/'Calc-Units'!$C$21)," ",AQ23*100000000/'Calc-Units'!$C$21)</f>
        <v>0.00040285639305379827</v>
      </c>
      <c r="AX23" s="287">
        <f>IF(ISERROR(AR23*100000000/'Calc-Units'!$C$21)," ",AR23*100000000/'Calc-Units'!$C$21)</f>
        <v>0.0016109189554383554</v>
      </c>
      <c r="AZ23" s="108"/>
      <c r="BA23" s="108"/>
    </row>
    <row r="24" spans="1:53" s="111" customFormat="1" ht="12.75">
      <c r="A24" s="113"/>
      <c r="B24" s="112"/>
      <c r="C24" s="140" t="s">
        <v>220</v>
      </c>
      <c r="D24" s="153">
        <f>'RRP 1.3'!V$12</f>
        <v>1.1</v>
      </c>
      <c r="E24" s="153">
        <v>0</v>
      </c>
      <c r="F24" s="153">
        <v>0</v>
      </c>
      <c r="G24" s="153">
        <v>0</v>
      </c>
      <c r="H24" s="153">
        <v>0</v>
      </c>
      <c r="I24" s="153">
        <f t="shared" si="0"/>
        <v>1.1</v>
      </c>
      <c r="J24" s="145"/>
      <c r="K24" s="107"/>
      <c r="L24" s="153" t="s">
        <v>198</v>
      </c>
      <c r="M24" s="166">
        <f>IF(ISERROR(VLOOKUP($L24,'Calc-Drivers'!$B$17:$G$27,M$42,FALSE))," ",VLOOKUP($L24,'Calc-Drivers'!$B$17:$G$27,M$42,FALSE))</f>
        <v>0.22063382481052818</v>
      </c>
      <c r="N24" s="166">
        <f>IF(ISERROR(VLOOKUP($L24,'Calc-Drivers'!$B$17:$G$27,N$42,FALSE))," ",VLOOKUP($L24,'Calc-Drivers'!$B$17:$G$27,N$42,FALSE))</f>
        <v>0.27826178252589195</v>
      </c>
      <c r="O24" s="166">
        <f>IF(ISERROR(VLOOKUP($L24,'Calc-Drivers'!$B$17:$G$27,O$42,FALSE))," ",VLOOKUP($L24,'Calc-Drivers'!$B$17:$G$27,O$42,FALSE))</f>
        <v>0.06810256034239837</v>
      </c>
      <c r="P24" s="166">
        <f>IF(ISERROR(VLOOKUP($L24,'Calc-Drivers'!$B$17:$G$27,P$42,FALSE))," ",VLOOKUP($L24,'Calc-Drivers'!$B$17:$G$27,P$42,FALSE))</f>
        <v>0.2723245981969643</v>
      </c>
      <c r="Q24" s="166">
        <f>IF(ISERROR(VLOOKUP($L24,'Calc-Drivers'!$B$17:$G$27,Q$42,FALSE))," ",VLOOKUP($L24,'Calc-Drivers'!$B$17:$G$27,Q$42,FALSE))</f>
        <v>0.1606772341242173</v>
      </c>
      <c r="R24" s="100"/>
      <c r="S24" s="101">
        <f t="shared" si="1"/>
        <v>0.242697207291581</v>
      </c>
      <c r="T24" s="101">
        <f t="shared" si="2"/>
        <v>0.30608796077848116</v>
      </c>
      <c r="U24" s="101">
        <f t="shared" si="3"/>
        <v>0.07491281637663821</v>
      </c>
      <c r="V24" s="172">
        <f t="shared" si="4"/>
        <v>0.29955705801666077</v>
      </c>
      <c r="W24" s="172">
        <f t="shared" si="4"/>
        <v>0.17674495753663905</v>
      </c>
      <c r="X24" s="108"/>
      <c r="Y24" s="101">
        <f t="shared" si="5"/>
        <v>0.242697207291581</v>
      </c>
      <c r="Z24" s="101">
        <f t="shared" si="6"/>
        <v>0.30608796077848116</v>
      </c>
      <c r="AA24" s="101">
        <f t="shared" si="7"/>
        <v>0.07491281637663821</v>
      </c>
      <c r="AB24" s="172">
        <f t="shared" si="10"/>
        <v>0.29955705801666077</v>
      </c>
      <c r="AC24" s="172">
        <f t="shared" si="10"/>
        <v>0.17674495753663905</v>
      </c>
      <c r="AD24" s="109"/>
      <c r="AE24" s="103">
        <f>IF(ISERROR(Y24*100000000/'Calc-Units'!$E$21)," ",Y24*100000000/'Calc-Units'!$E$21)</f>
        <v>0.0019546089773610827</v>
      </c>
      <c r="AF24" s="103">
        <f>IF(ISERROR(Z24*100000000/'Calc-Units'!$D$21)," ",Z24*100000000/'Calc-Units'!$D$21)</f>
        <v>0.003183965808681464</v>
      </c>
      <c r="AG24" s="103">
        <f>IF(ISERROR(AA24*100000000/'Calc-Units'!$C$21)," ",AA24*100000000/'Calc-Units'!$C$21)</f>
        <v>0.001038119409560705</v>
      </c>
      <c r="AH24" s="287">
        <f>IF(ISERROR(AB24*100000000/'Calc-Units'!$C$21)," ",AB24*100000000/'Calc-Units'!$C$21)</f>
        <v>0.0041511721390170096</v>
      </c>
      <c r="AI24" s="110"/>
      <c r="AJ24" s="106">
        <v>0.5257</v>
      </c>
      <c r="AK24" s="98">
        <f t="shared" si="8"/>
        <v>0.57827</v>
      </c>
      <c r="AL24" s="99">
        <f t="shared" si="9"/>
        <v>0.5217300000000001</v>
      </c>
      <c r="AM24" s="98"/>
      <c r="AN24" s="98"/>
      <c r="AO24" s="101">
        <f t="shared" si="11"/>
        <v>0.11511128541839688</v>
      </c>
      <c r="AP24" s="101">
        <f t="shared" si="12"/>
        <v>0.14517751979723365</v>
      </c>
      <c r="AQ24" s="101">
        <f t="shared" si="13"/>
        <v>0.03553114880743951</v>
      </c>
      <c r="AR24" s="172">
        <f t="shared" si="14"/>
        <v>0.1420799126173022</v>
      </c>
      <c r="AS24" s="172">
        <f t="shared" si="14"/>
        <v>0.08383013335962791</v>
      </c>
      <c r="AT24" s="110"/>
      <c r="AU24" s="103">
        <f>IF(ISERROR(AO24*100000000/'Calc-Units'!$E$21)," ",AO24*100000000/'Calc-Units'!$E$21)</f>
        <v>0.0009270710379623617</v>
      </c>
      <c r="AV24" s="103">
        <f>IF(ISERROR(AP24*100000000/'Calc-Units'!$D$21)," ",AP24*100000000/'Calc-Units'!$D$21)</f>
        <v>0.0015101549830576187</v>
      </c>
      <c r="AW24" s="103">
        <f>IF(ISERROR(AQ24*100000000/'Calc-Units'!$C$21)," ",AQ24*100000000/'Calc-Units'!$C$21)</f>
        <v>0.0004923800359546424</v>
      </c>
      <c r="AX24" s="287">
        <f>IF(ISERROR(AR24*100000000/'Calc-Units'!$C$21)," ",AR24*100000000/'Calc-Units'!$C$21)</f>
        <v>0.0019689009455357677</v>
      </c>
      <c r="AZ24" s="108"/>
      <c r="BA24" s="108"/>
    </row>
    <row r="25" spans="1:53" s="111" customFormat="1" ht="12.75">
      <c r="A25" s="113"/>
      <c r="B25" s="112"/>
      <c r="C25" s="140" t="s">
        <v>730</v>
      </c>
      <c r="D25" s="153">
        <f>'RRP 1.3'!W$12</f>
        <v>5.8</v>
      </c>
      <c r="E25" s="153">
        <v>0</v>
      </c>
      <c r="F25" s="153">
        <v>0</v>
      </c>
      <c r="G25" s="153">
        <v>0</v>
      </c>
      <c r="H25" s="153">
        <v>0</v>
      </c>
      <c r="I25" s="153">
        <f t="shared" si="0"/>
        <v>5.8</v>
      </c>
      <c r="J25" s="145"/>
      <c r="K25" s="107"/>
      <c r="L25" s="153" t="s">
        <v>198</v>
      </c>
      <c r="M25" s="166">
        <f>IF(ISERROR(VLOOKUP($L25,'Calc-Drivers'!$B$17:$G$27,M$42,FALSE))," ",VLOOKUP($L25,'Calc-Drivers'!$B$17:$G$27,M$42,FALSE))</f>
        <v>0.22063382481052818</v>
      </c>
      <c r="N25" s="166">
        <f>IF(ISERROR(VLOOKUP($L25,'Calc-Drivers'!$B$17:$G$27,N$42,FALSE))," ",VLOOKUP($L25,'Calc-Drivers'!$B$17:$G$27,N$42,FALSE))</f>
        <v>0.27826178252589195</v>
      </c>
      <c r="O25" s="166">
        <f>IF(ISERROR(VLOOKUP($L25,'Calc-Drivers'!$B$17:$G$27,O$42,FALSE))," ",VLOOKUP($L25,'Calc-Drivers'!$B$17:$G$27,O$42,FALSE))</f>
        <v>0.06810256034239837</v>
      </c>
      <c r="P25" s="166">
        <f>IF(ISERROR(VLOOKUP($L25,'Calc-Drivers'!$B$17:$G$27,P$42,FALSE))," ",VLOOKUP($L25,'Calc-Drivers'!$B$17:$G$27,P$42,FALSE))</f>
        <v>0.2723245981969643</v>
      </c>
      <c r="Q25" s="166">
        <f>IF(ISERROR(VLOOKUP($L25,'Calc-Drivers'!$B$17:$G$27,Q$42,FALSE))," ",VLOOKUP($L25,'Calc-Drivers'!$B$17:$G$27,Q$42,FALSE))</f>
        <v>0.1606772341242173</v>
      </c>
      <c r="R25" s="100"/>
      <c r="S25" s="101">
        <f t="shared" si="1"/>
        <v>1.2796761839010633</v>
      </c>
      <c r="T25" s="101">
        <f t="shared" si="2"/>
        <v>1.6139183386501732</v>
      </c>
      <c r="U25" s="101">
        <f t="shared" si="3"/>
        <v>0.3949948499859105</v>
      </c>
      <c r="V25" s="172">
        <f t="shared" si="4"/>
        <v>1.579482669542393</v>
      </c>
      <c r="W25" s="172">
        <f t="shared" si="4"/>
        <v>0.9319279579204603</v>
      </c>
      <c r="X25" s="108"/>
      <c r="Y25" s="101">
        <f t="shared" si="5"/>
        <v>1.2796761839010633</v>
      </c>
      <c r="Z25" s="101">
        <f t="shared" si="6"/>
        <v>1.6139183386501732</v>
      </c>
      <c r="AA25" s="101">
        <f t="shared" si="7"/>
        <v>0.3949948499859105</v>
      </c>
      <c r="AB25" s="172">
        <f t="shared" si="10"/>
        <v>1.579482669542393</v>
      </c>
      <c r="AC25" s="172">
        <f t="shared" si="10"/>
        <v>0.9319279579204603</v>
      </c>
      <c r="AD25" s="109"/>
      <c r="AE25" s="103">
        <f>IF(ISERROR(Y25*100000000/'Calc-Units'!$E$21)," ",Y25*100000000/'Calc-Units'!$E$21)</f>
        <v>0.010306120062449345</v>
      </c>
      <c r="AF25" s="103">
        <f>IF(ISERROR(Z25*100000000/'Calc-Units'!$D$21)," ",Z25*100000000/'Calc-Units'!$D$21)</f>
        <v>0.0167881833548659</v>
      </c>
      <c r="AG25" s="103">
        <f>IF(ISERROR(AA25*100000000/'Calc-Units'!$C$21)," ",AA25*100000000/'Calc-Units'!$C$21)</f>
        <v>0.0054737205231382615</v>
      </c>
      <c r="AH25" s="287">
        <f>IF(ISERROR(AB25*100000000/'Calc-Units'!$C$21)," ",AB25*100000000/'Calc-Units'!$C$21)</f>
        <v>0.02188799855118059</v>
      </c>
      <c r="AI25" s="110"/>
      <c r="AJ25" s="106">
        <v>0.5257</v>
      </c>
      <c r="AK25" s="98">
        <f t="shared" si="8"/>
        <v>3.0490599999999994</v>
      </c>
      <c r="AL25" s="99">
        <f t="shared" si="9"/>
        <v>2.7509400000000004</v>
      </c>
      <c r="AM25" s="98"/>
      <c r="AN25" s="98"/>
      <c r="AO25" s="101">
        <f t="shared" si="11"/>
        <v>0.6069504140242744</v>
      </c>
      <c r="AP25" s="101">
        <f t="shared" si="12"/>
        <v>0.7654814680217772</v>
      </c>
      <c r="AQ25" s="101">
        <f t="shared" si="13"/>
        <v>0.18734605734831739</v>
      </c>
      <c r="AR25" s="172">
        <f t="shared" si="14"/>
        <v>0.749148630163957</v>
      </c>
      <c r="AS25" s="172">
        <f t="shared" si="14"/>
        <v>0.4420134304416744</v>
      </c>
      <c r="AT25" s="110"/>
      <c r="AU25" s="103">
        <f>IF(ISERROR(AO25*100000000/'Calc-Units'!$E$21)," ",AO25*100000000/'Calc-Units'!$E$21)</f>
        <v>0.004888192745619725</v>
      </c>
      <c r="AV25" s="103">
        <f>IF(ISERROR(AP25*100000000/'Calc-Units'!$D$21)," ",AP25*100000000/'Calc-Units'!$D$21)</f>
        <v>0.007962635365212896</v>
      </c>
      <c r="AW25" s="103">
        <f>IF(ISERROR(AQ25*100000000/'Calc-Units'!$C$21)," ",AQ25*100000000/'Calc-Units'!$C$21)</f>
        <v>0.0025961856441244777</v>
      </c>
      <c r="AX25" s="287">
        <f>IF(ISERROR(AR25*100000000/'Calc-Units'!$C$21)," ",AR25*100000000/'Calc-Units'!$C$21)</f>
        <v>0.010381477712824955</v>
      </c>
      <c r="AZ25" s="108"/>
      <c r="BA25" s="108"/>
    </row>
    <row r="26" spans="1:53" s="111" customFormat="1" ht="12.75">
      <c r="A26" s="116"/>
      <c r="B26" s="112"/>
      <c r="C26" s="140" t="s">
        <v>184</v>
      </c>
      <c r="D26" s="153">
        <f>'RRP 1.3'!X$12</f>
        <v>1.8</v>
      </c>
      <c r="E26" s="153">
        <v>0</v>
      </c>
      <c r="F26" s="153">
        <v>0</v>
      </c>
      <c r="G26" s="153">
        <v>0</v>
      </c>
      <c r="H26" s="153">
        <v>0</v>
      </c>
      <c r="I26" s="153">
        <f t="shared" si="0"/>
        <v>1.8</v>
      </c>
      <c r="J26" s="145"/>
      <c r="K26" s="107"/>
      <c r="L26" s="174" t="s">
        <v>198</v>
      </c>
      <c r="M26" s="166">
        <f>IF(ISERROR(VLOOKUP($L26,'Calc-Drivers'!$B$17:$G$27,M$42,FALSE))," ",VLOOKUP($L26,'Calc-Drivers'!$B$17:$G$27,M$42,FALSE))</f>
        <v>0.22063382481052818</v>
      </c>
      <c r="N26" s="166">
        <f>IF(ISERROR(VLOOKUP($L26,'Calc-Drivers'!$B$17:$G$27,N$42,FALSE))," ",VLOOKUP($L26,'Calc-Drivers'!$B$17:$G$27,N$42,FALSE))</f>
        <v>0.27826178252589195</v>
      </c>
      <c r="O26" s="166">
        <f>IF(ISERROR(VLOOKUP($L26,'Calc-Drivers'!$B$17:$G$27,O$42,FALSE))," ",VLOOKUP($L26,'Calc-Drivers'!$B$17:$G$27,O$42,FALSE))</f>
        <v>0.06810256034239837</v>
      </c>
      <c r="P26" s="166">
        <f>IF(ISERROR(VLOOKUP($L26,'Calc-Drivers'!$B$17:$G$27,P$42,FALSE))," ",VLOOKUP($L26,'Calc-Drivers'!$B$17:$G$27,P$42,FALSE))</f>
        <v>0.2723245981969643</v>
      </c>
      <c r="Q26" s="166">
        <f>IF(ISERROR(VLOOKUP($L26,'Calc-Drivers'!$B$17:$G$27,Q$42,FALSE))," ",VLOOKUP($L26,'Calc-Drivers'!$B$17:$G$27,Q$42,FALSE))</f>
        <v>0.1606772341242173</v>
      </c>
      <c r="R26" s="100"/>
      <c r="S26" s="101">
        <f t="shared" si="1"/>
        <v>0.39714088465895075</v>
      </c>
      <c r="T26" s="101">
        <f t="shared" si="2"/>
        <v>0.5008712085466055</v>
      </c>
      <c r="U26" s="101">
        <f t="shared" si="3"/>
        <v>0.12258460861631706</v>
      </c>
      <c r="V26" s="172">
        <f t="shared" si="4"/>
        <v>0.49018427675453574</v>
      </c>
      <c r="W26" s="172">
        <f t="shared" si="4"/>
        <v>0.2892190214235912</v>
      </c>
      <c r="X26" s="108"/>
      <c r="Y26" s="176">
        <f t="shared" si="5"/>
        <v>0.39714088465895075</v>
      </c>
      <c r="Z26" s="176">
        <f t="shared" si="6"/>
        <v>0.5008712085466055</v>
      </c>
      <c r="AA26" s="176">
        <f t="shared" si="7"/>
        <v>0.12258460861631706</v>
      </c>
      <c r="AB26" s="172">
        <f t="shared" si="10"/>
        <v>0.49018427675453574</v>
      </c>
      <c r="AC26" s="172">
        <f t="shared" si="10"/>
        <v>0.2892190214235912</v>
      </c>
      <c r="AD26" s="109"/>
      <c r="AE26" s="288">
        <f>IF(ISERROR(Y26*100000000/'Calc-Units'!$E$21)," ",Y26*100000000/'Calc-Units'!$E$21)</f>
        <v>0.003198451053863591</v>
      </c>
      <c r="AF26" s="288">
        <f>IF(ISERROR(Z26*100000000/'Calc-Units'!$D$21)," ",Z26*100000000/'Calc-Units'!$D$21)</f>
        <v>0.005210125868751486</v>
      </c>
      <c r="AG26" s="288">
        <f>IF(ISERROR(AA26*100000000/'Calc-Units'!$C$21)," ",AA26*100000000/'Calc-Units'!$C$21)</f>
        <v>0.001698740852008426</v>
      </c>
      <c r="AH26" s="289">
        <f>IF(ISERROR(AB26*100000000/'Calc-Units'!$C$21)," ",AB26*100000000/'Calc-Units'!$C$21)</f>
        <v>0.006792827136573287</v>
      </c>
      <c r="AI26" s="110"/>
      <c r="AJ26" s="336">
        <v>0.5257</v>
      </c>
      <c r="AK26" s="293">
        <f t="shared" si="8"/>
        <v>0.9462599999999999</v>
      </c>
      <c r="AL26" s="294">
        <f t="shared" si="9"/>
        <v>0.8537400000000002</v>
      </c>
      <c r="AM26" s="98"/>
      <c r="AN26" s="98"/>
      <c r="AO26" s="176">
        <f t="shared" si="11"/>
        <v>0.18836392159374035</v>
      </c>
      <c r="AP26" s="176">
        <f t="shared" si="12"/>
        <v>0.237563214213655</v>
      </c>
      <c r="AQ26" s="176">
        <f t="shared" si="13"/>
        <v>0.05814187986671919</v>
      </c>
      <c r="AR26" s="173">
        <f t="shared" si="14"/>
        <v>0.23249440246467634</v>
      </c>
      <c r="AS26" s="173">
        <f t="shared" si="14"/>
        <v>0.13717658186120932</v>
      </c>
      <c r="AT26" s="110"/>
      <c r="AU26" s="288">
        <f>IF(ISERROR(AO26*100000000/'Calc-Units'!$E$21)," ",AO26*100000000/'Calc-Units'!$E$21)</f>
        <v>0.001517025334847501</v>
      </c>
      <c r="AV26" s="288">
        <f>IF(ISERROR(AP26*100000000/'Calc-Units'!$D$21)," ",AP26*100000000/'Calc-Units'!$D$21)</f>
        <v>0.00247116269954883</v>
      </c>
      <c r="AW26" s="288">
        <f>IF(ISERROR(AQ26*100000000/'Calc-Units'!$C$21)," ",AQ26*100000000/'Calc-Units'!$C$21)</f>
        <v>0.0008057127861075965</v>
      </c>
      <c r="AX26" s="289">
        <f>IF(ISERROR(AR26*100000000/'Calc-Units'!$C$21)," ",AR26*100000000/'Calc-Units'!$C$21)</f>
        <v>0.003221837910876711</v>
      </c>
      <c r="AZ26" s="108"/>
      <c r="BA26" s="108"/>
    </row>
    <row r="27" spans="1:53" s="95" customFormat="1" ht="12.75" customHeight="1">
      <c r="A27" s="115" t="s">
        <v>0</v>
      </c>
      <c r="B27" s="136"/>
      <c r="C27" s="115" t="s">
        <v>185</v>
      </c>
      <c r="D27" s="154">
        <f>'RRP 1.3'!Y$12</f>
        <v>4.3</v>
      </c>
      <c r="E27" s="154">
        <v>0</v>
      </c>
      <c r="F27" s="154">
        <v>0</v>
      </c>
      <c r="G27" s="154">
        <v>0</v>
      </c>
      <c r="H27" s="154">
        <v>0</v>
      </c>
      <c r="I27" s="154">
        <f t="shared" si="0"/>
        <v>4.3</v>
      </c>
      <c r="J27" s="146"/>
      <c r="K27" s="98"/>
      <c r="L27" s="155" t="s">
        <v>183</v>
      </c>
      <c r="M27" s="166" t="str">
        <f>IF(ISERROR(VLOOKUP($L27,'Calc-Drivers'!$B$17:$G$27,M$42,FALSE))," ",VLOOKUP($L27,'Calc-Drivers'!$B$17:$G$27,M$42,FALSE))</f>
        <v> </v>
      </c>
      <c r="N27" s="166" t="str">
        <f>IF(ISERROR(VLOOKUP($L27,'Calc-Drivers'!$B$17:$G$27,N$42,FALSE))," ",VLOOKUP($L27,'Calc-Drivers'!$B$17:$G$27,N$42,FALSE))</f>
        <v> </v>
      </c>
      <c r="O27" s="166" t="str">
        <f>IF(ISERROR(VLOOKUP($L27,'Calc-Drivers'!$B$17:$G$27,O$42,FALSE))," ",VLOOKUP($L27,'Calc-Drivers'!$B$17:$G$27,O$42,FALSE))</f>
        <v> </v>
      </c>
      <c r="P27" s="166" t="str">
        <f>IF(ISERROR(VLOOKUP($L27,'Calc-Drivers'!$B$17:$G$27,P$42,FALSE))," ",VLOOKUP($L27,'Calc-Drivers'!$B$17:$G$27,P$42,FALSE))</f>
        <v> </v>
      </c>
      <c r="Q27" s="166" t="str">
        <f>IF(ISERROR(VLOOKUP($L27,'Calc-Drivers'!$B$17:$G$27,Q$42,FALSE))," ",VLOOKUP($L27,'Calc-Drivers'!$B$17:$G$27,Q$42,FALSE))</f>
        <v> </v>
      </c>
      <c r="R27" s="100"/>
      <c r="S27" s="175" t="str">
        <f t="shared" si="1"/>
        <v> </v>
      </c>
      <c r="T27" s="175" t="str">
        <f t="shared" si="2"/>
        <v> </v>
      </c>
      <c r="U27" s="175" t="str">
        <f t="shared" si="3"/>
        <v> </v>
      </c>
      <c r="V27" s="171" t="str">
        <f t="shared" si="4"/>
        <v> </v>
      </c>
      <c r="W27" s="171" t="str">
        <f t="shared" si="4"/>
        <v> </v>
      </c>
      <c r="X27" s="96"/>
      <c r="Y27" s="175" t="str">
        <f t="shared" si="5"/>
        <v> </v>
      </c>
      <c r="Z27" s="175" t="str">
        <f t="shared" si="6"/>
        <v> </v>
      </c>
      <c r="AA27" s="175" t="str">
        <f t="shared" si="7"/>
        <v> </v>
      </c>
      <c r="AB27" s="172" t="str">
        <f t="shared" si="10"/>
        <v> </v>
      </c>
      <c r="AC27" s="172" t="str">
        <f t="shared" si="10"/>
        <v> </v>
      </c>
      <c r="AD27" s="102"/>
      <c r="AE27" s="331" t="str">
        <f>IF(ISERROR(Y27*100000000/'Calc-Units'!$E$21)," ",Y27*100000000/'Calc-Units'!$E$21)</f>
        <v> </v>
      </c>
      <c r="AF27" s="331" t="str">
        <f>IF(ISERROR(Z27*100000000/'Calc-Units'!$D$21)," ",Z27*100000000/'Calc-Units'!$D$21)</f>
        <v> </v>
      </c>
      <c r="AG27" s="331" t="str">
        <f>IF(ISERROR(AA27*100000000/'Calc-Units'!$C$21)," ",AA27*100000000/'Calc-Units'!$C$21)</f>
        <v> </v>
      </c>
      <c r="AH27" s="332" t="str">
        <f>IF(ISERROR(AB27*100000000/'Calc-Units'!$C$21)," ",AB27*100000000/'Calc-Units'!$C$21)</f>
        <v> </v>
      </c>
      <c r="AI27" s="104"/>
      <c r="AJ27" s="114">
        <v>0</v>
      </c>
      <c r="AK27" s="98">
        <f t="shared" si="8"/>
        <v>0</v>
      </c>
      <c r="AL27" s="99">
        <f t="shared" si="9"/>
        <v>4.3</v>
      </c>
      <c r="AM27" s="98"/>
      <c r="AN27" s="98"/>
      <c r="AO27" s="175" t="str">
        <f t="shared" si="11"/>
        <v> </v>
      </c>
      <c r="AP27" s="175" t="str">
        <f t="shared" si="12"/>
        <v> </v>
      </c>
      <c r="AQ27" s="175" t="str">
        <f t="shared" si="13"/>
        <v> </v>
      </c>
      <c r="AR27" s="171" t="str">
        <f t="shared" si="14"/>
        <v> </v>
      </c>
      <c r="AS27" s="171" t="str">
        <f t="shared" si="14"/>
        <v> </v>
      </c>
      <c r="AT27" s="104"/>
      <c r="AU27" s="331" t="str">
        <f>IF(ISERROR(AO27*100000000/'Calc-Units'!$E$21)," ",AO27*100000000/'Calc-Units'!$E$21)</f>
        <v> </v>
      </c>
      <c r="AV27" s="331" t="str">
        <f>IF(ISERROR(AP27*100000000/'Calc-Units'!$D$21)," ",AP27*100000000/'Calc-Units'!$D$21)</f>
        <v> </v>
      </c>
      <c r="AW27" s="331" t="str">
        <f>IF(ISERROR(AQ27*100000000/'Calc-Units'!$C$21)," ",AQ27*100000000/'Calc-Units'!$C$21)</f>
        <v> </v>
      </c>
      <c r="AX27" s="332" t="str">
        <f>IF(ISERROR(AR27*100000000/'Calc-Units'!$C$21)," ",AR27*100000000/'Calc-Units'!$C$21)</f>
        <v> </v>
      </c>
      <c r="AZ27" s="108"/>
      <c r="BA27" s="96"/>
    </row>
    <row r="28" spans="1:53" s="95" customFormat="1" ht="12.75">
      <c r="A28" s="113"/>
      <c r="B28" s="137"/>
      <c r="C28" s="113" t="s">
        <v>186</v>
      </c>
      <c r="D28" s="155">
        <f>'RRP 1.3'!Z$12</f>
        <v>13.4</v>
      </c>
      <c r="E28" s="155">
        <v>0</v>
      </c>
      <c r="F28" s="155">
        <v>0</v>
      </c>
      <c r="G28" s="155">
        <v>0</v>
      </c>
      <c r="H28" s="155">
        <v>0</v>
      </c>
      <c r="I28" s="155">
        <f t="shared" si="0"/>
        <v>13.4</v>
      </c>
      <c r="J28" s="146"/>
      <c r="K28" s="98"/>
      <c r="L28" s="154" t="s">
        <v>183</v>
      </c>
      <c r="M28" s="283" t="str">
        <f>IF(ISERROR(VLOOKUP($L28,'Calc-Drivers'!$B$17:$G$27,M$42,FALSE))," ",VLOOKUP($L28,'Calc-Drivers'!$B$17:$G$27,M$42,FALSE))</f>
        <v> </v>
      </c>
      <c r="N28" s="283" t="str">
        <f>IF(ISERROR(VLOOKUP($L28,'Calc-Drivers'!$B$17:$G$27,N$42,FALSE))," ",VLOOKUP($L28,'Calc-Drivers'!$B$17:$G$27,N$42,FALSE))</f>
        <v> </v>
      </c>
      <c r="O28" s="283" t="str">
        <f>IF(ISERROR(VLOOKUP($L28,'Calc-Drivers'!$B$17:$G$27,O$42,FALSE))," ",VLOOKUP($L28,'Calc-Drivers'!$B$17:$G$27,O$42,FALSE))</f>
        <v> </v>
      </c>
      <c r="P28" s="283" t="str">
        <f>IF(ISERROR(VLOOKUP($L28,'Calc-Drivers'!$B$17:$G$27,P$42,FALSE))," ",VLOOKUP($L28,'Calc-Drivers'!$B$17:$G$27,P$42,FALSE))</f>
        <v> </v>
      </c>
      <c r="Q28" s="283" t="str">
        <f>IF(ISERROR(VLOOKUP($L28,'Calc-Drivers'!$B$17:$G$27,Q$42,FALSE))," ",VLOOKUP($L28,'Calc-Drivers'!$B$17:$G$27,Q$42,FALSE))</f>
        <v> </v>
      </c>
      <c r="R28" s="100"/>
      <c r="S28" s="101" t="str">
        <f t="shared" si="1"/>
        <v> </v>
      </c>
      <c r="T28" s="101" t="str">
        <f t="shared" si="2"/>
        <v> </v>
      </c>
      <c r="U28" s="101" t="str">
        <f t="shared" si="3"/>
        <v> </v>
      </c>
      <c r="V28" s="172" t="str">
        <f t="shared" si="4"/>
        <v> </v>
      </c>
      <c r="W28" s="172" t="str">
        <f t="shared" si="4"/>
        <v> </v>
      </c>
      <c r="X28" s="96"/>
      <c r="Y28" s="101" t="str">
        <f t="shared" si="5"/>
        <v> </v>
      </c>
      <c r="Z28" s="101" t="str">
        <f t="shared" si="6"/>
        <v> </v>
      </c>
      <c r="AA28" s="101" t="str">
        <f t="shared" si="7"/>
        <v> </v>
      </c>
      <c r="AB28" s="172" t="str">
        <f t="shared" si="10"/>
        <v> </v>
      </c>
      <c r="AC28" s="172" t="str">
        <f t="shared" si="10"/>
        <v> </v>
      </c>
      <c r="AD28" s="102"/>
      <c r="AE28" s="103" t="str">
        <f>IF(ISERROR(Y28*100000000/'Calc-Units'!$E$21)," ",Y28*100000000/'Calc-Units'!$E$21)</f>
        <v> </v>
      </c>
      <c r="AF28" s="103" t="str">
        <f>IF(ISERROR(Z28*100000000/'Calc-Units'!$D$21)," ",Z28*100000000/'Calc-Units'!$D$21)</f>
        <v> </v>
      </c>
      <c r="AG28" s="103" t="str">
        <f>IF(ISERROR(AA28*100000000/'Calc-Units'!$C$21)," ",AA28*100000000/'Calc-Units'!$C$21)</f>
        <v> </v>
      </c>
      <c r="AH28" s="287" t="str">
        <f>IF(ISERROR(AB28*100000000/'Calc-Units'!$C$21)," ",AB28*100000000/'Calc-Units'!$C$21)</f>
        <v> </v>
      </c>
      <c r="AI28" s="104"/>
      <c r="AJ28" s="114">
        <v>0.577</v>
      </c>
      <c r="AK28" s="98">
        <f t="shared" si="8"/>
        <v>7.7318</v>
      </c>
      <c r="AL28" s="99">
        <f t="shared" si="9"/>
        <v>5.668200000000001</v>
      </c>
      <c r="AM28" s="98"/>
      <c r="AN28" s="98"/>
      <c r="AO28" s="101" t="str">
        <f t="shared" si="11"/>
        <v> </v>
      </c>
      <c r="AP28" s="101" t="str">
        <f t="shared" si="12"/>
        <v> </v>
      </c>
      <c r="AQ28" s="101" t="str">
        <f t="shared" si="13"/>
        <v> </v>
      </c>
      <c r="AR28" s="172" t="str">
        <f t="shared" si="14"/>
        <v> </v>
      </c>
      <c r="AS28" s="172" t="str">
        <f t="shared" si="14"/>
        <v> </v>
      </c>
      <c r="AT28" s="104"/>
      <c r="AU28" s="103" t="str">
        <f>IF(ISERROR(AO28*100000000/'Calc-Units'!$E$21)," ",AO28*100000000/'Calc-Units'!$E$21)</f>
        <v> </v>
      </c>
      <c r="AV28" s="103" t="str">
        <f>IF(ISERROR(AP28*100000000/'Calc-Units'!$D$21)," ",AP28*100000000/'Calc-Units'!$D$21)</f>
        <v> </v>
      </c>
      <c r="AW28" s="103" t="str">
        <f>IF(ISERROR(AQ28*100000000/'Calc-Units'!$C$21)," ",AQ28*100000000/'Calc-Units'!$C$21)</f>
        <v> </v>
      </c>
      <c r="AX28" s="287" t="str">
        <f>IF(ISERROR(AR28*100000000/'Calc-Units'!$C$21)," ",AR28*100000000/'Calc-Units'!$C$21)</f>
        <v> </v>
      </c>
      <c r="AZ28" s="108"/>
      <c r="BA28" s="96"/>
    </row>
    <row r="29" spans="1:53" s="95" customFormat="1" ht="12.75">
      <c r="A29" s="113"/>
      <c r="B29" s="137"/>
      <c r="C29" s="113" t="s">
        <v>460</v>
      </c>
      <c r="D29" s="155">
        <f>'RRP 1.3'!AA$12</f>
        <v>1.8</v>
      </c>
      <c r="E29" s="155">
        <v>0</v>
      </c>
      <c r="F29" s="155">
        <v>0</v>
      </c>
      <c r="G29" s="155">
        <v>0</v>
      </c>
      <c r="H29" s="155">
        <v>0</v>
      </c>
      <c r="I29" s="155">
        <f t="shared" si="0"/>
        <v>1.8</v>
      </c>
      <c r="J29" s="146"/>
      <c r="K29" s="98"/>
      <c r="L29" s="155" t="s">
        <v>183</v>
      </c>
      <c r="M29" s="166" t="str">
        <f>IF(ISERROR(VLOOKUP($L29,'Calc-Drivers'!$B$17:$G$27,M$42,FALSE))," ",VLOOKUP($L29,'Calc-Drivers'!$B$17:$G$27,M$42,FALSE))</f>
        <v> </v>
      </c>
      <c r="N29" s="166" t="str">
        <f>IF(ISERROR(VLOOKUP($L29,'Calc-Drivers'!$B$17:$G$27,N$42,FALSE))," ",VLOOKUP($L29,'Calc-Drivers'!$B$17:$G$27,N$42,FALSE))</f>
        <v> </v>
      </c>
      <c r="O29" s="166" t="str">
        <f>IF(ISERROR(VLOOKUP($L29,'Calc-Drivers'!$B$17:$G$27,O$42,FALSE))," ",VLOOKUP($L29,'Calc-Drivers'!$B$17:$G$27,O$42,FALSE))</f>
        <v> </v>
      </c>
      <c r="P29" s="166" t="str">
        <f>IF(ISERROR(VLOOKUP($L29,'Calc-Drivers'!$B$17:$G$27,P$42,FALSE))," ",VLOOKUP($L29,'Calc-Drivers'!$B$17:$G$27,P$42,FALSE))</f>
        <v> </v>
      </c>
      <c r="Q29" s="166" t="str">
        <f>IF(ISERROR(VLOOKUP($L29,'Calc-Drivers'!$B$17:$G$27,Q$42,FALSE))," ",VLOOKUP($L29,'Calc-Drivers'!$B$17:$G$27,Q$42,FALSE))</f>
        <v> </v>
      </c>
      <c r="R29" s="100"/>
      <c r="S29" s="101" t="str">
        <f t="shared" si="1"/>
        <v> </v>
      </c>
      <c r="T29" s="101" t="str">
        <f t="shared" si="2"/>
        <v> </v>
      </c>
      <c r="U29" s="101" t="str">
        <f t="shared" si="3"/>
        <v> </v>
      </c>
      <c r="V29" s="172" t="str">
        <f t="shared" si="4"/>
        <v> </v>
      </c>
      <c r="W29" s="172" t="str">
        <f t="shared" si="4"/>
        <v> </v>
      </c>
      <c r="X29" s="96"/>
      <c r="Y29" s="101" t="str">
        <f t="shared" si="5"/>
        <v> </v>
      </c>
      <c r="Z29" s="101" t="str">
        <f t="shared" si="6"/>
        <v> </v>
      </c>
      <c r="AA29" s="101" t="str">
        <f t="shared" si="7"/>
        <v> </v>
      </c>
      <c r="AB29" s="172" t="str">
        <f t="shared" si="10"/>
        <v> </v>
      </c>
      <c r="AC29" s="172" t="str">
        <f t="shared" si="10"/>
        <v> </v>
      </c>
      <c r="AD29" s="102"/>
      <c r="AE29" s="103" t="str">
        <f>IF(ISERROR(Y29*100000000/'Calc-Units'!$E$21)," ",Y29*100000000/'Calc-Units'!$E$21)</f>
        <v> </v>
      </c>
      <c r="AF29" s="103" t="str">
        <f>IF(ISERROR(Z29*100000000/'Calc-Units'!$D$21)," ",Z29*100000000/'Calc-Units'!$D$21)</f>
        <v> </v>
      </c>
      <c r="AG29" s="103" t="str">
        <f>IF(ISERROR(AA29*100000000/'Calc-Units'!$C$21)," ",AA29*100000000/'Calc-Units'!$C$21)</f>
        <v> </v>
      </c>
      <c r="AH29" s="287" t="str">
        <f>IF(ISERROR(AB29*100000000/'Calc-Units'!$C$21)," ",AB29*100000000/'Calc-Units'!$C$21)</f>
        <v> </v>
      </c>
      <c r="AI29" s="104"/>
      <c r="AJ29" s="114">
        <v>0</v>
      </c>
      <c r="AK29" s="98">
        <f t="shared" si="8"/>
        <v>0</v>
      </c>
      <c r="AL29" s="99">
        <f t="shared" si="9"/>
        <v>1.8</v>
      </c>
      <c r="AM29" s="98"/>
      <c r="AN29" s="98"/>
      <c r="AO29" s="101" t="str">
        <f t="shared" si="11"/>
        <v> </v>
      </c>
      <c r="AP29" s="101" t="str">
        <f t="shared" si="12"/>
        <v> </v>
      </c>
      <c r="AQ29" s="101" t="str">
        <f t="shared" si="13"/>
        <v> </v>
      </c>
      <c r="AR29" s="172" t="str">
        <f t="shared" si="14"/>
        <v> </v>
      </c>
      <c r="AS29" s="172" t="str">
        <f t="shared" si="14"/>
        <v> </v>
      </c>
      <c r="AT29" s="104"/>
      <c r="AU29" s="103" t="str">
        <f>IF(ISERROR(AO29*100000000/'Calc-Units'!$E$21)," ",AO29*100000000/'Calc-Units'!$E$21)</f>
        <v> </v>
      </c>
      <c r="AV29" s="103" t="str">
        <f>IF(ISERROR(AP29*100000000/'Calc-Units'!$D$21)," ",AP29*100000000/'Calc-Units'!$D$21)</f>
        <v> </v>
      </c>
      <c r="AW29" s="103" t="str">
        <f>IF(ISERROR(AQ29*100000000/'Calc-Units'!$C$21)," ",AQ29*100000000/'Calc-Units'!$C$21)</f>
        <v> </v>
      </c>
      <c r="AX29" s="287" t="str">
        <f>IF(ISERROR(AR29*100000000/'Calc-Units'!$C$21)," ",AR29*100000000/'Calc-Units'!$C$21)</f>
        <v> </v>
      </c>
      <c r="AZ29" s="96"/>
      <c r="BA29" s="96"/>
    </row>
    <row r="30" spans="1:53" s="95" customFormat="1" ht="12.75">
      <c r="A30" s="113"/>
      <c r="B30" s="137"/>
      <c r="C30" s="113" t="s">
        <v>461</v>
      </c>
      <c r="D30" s="155">
        <f>'RRP 1.3'!AB$12</f>
        <v>8.9</v>
      </c>
      <c r="E30" s="155">
        <v>0</v>
      </c>
      <c r="F30" s="155">
        <v>0</v>
      </c>
      <c r="G30" s="155">
        <v>0</v>
      </c>
      <c r="H30" s="155">
        <v>0</v>
      </c>
      <c r="I30" s="155">
        <f t="shared" si="0"/>
        <v>8.9</v>
      </c>
      <c r="J30" s="146"/>
      <c r="K30" s="98"/>
      <c r="L30" s="155" t="s">
        <v>183</v>
      </c>
      <c r="M30" s="166" t="str">
        <f>IF(ISERROR(VLOOKUP($L30,'Calc-Drivers'!$B$17:$G$27,M$42,FALSE))," ",VLOOKUP($L30,'Calc-Drivers'!$B$17:$G$27,M$42,FALSE))</f>
        <v> </v>
      </c>
      <c r="N30" s="166" t="str">
        <f>IF(ISERROR(VLOOKUP($L30,'Calc-Drivers'!$B$17:$G$27,N$42,FALSE))," ",VLOOKUP($L30,'Calc-Drivers'!$B$17:$G$27,N$42,FALSE))</f>
        <v> </v>
      </c>
      <c r="O30" s="166" t="str">
        <f>IF(ISERROR(VLOOKUP($L30,'Calc-Drivers'!$B$17:$G$27,O$42,FALSE))," ",VLOOKUP($L30,'Calc-Drivers'!$B$17:$G$27,O$42,FALSE))</f>
        <v> </v>
      </c>
      <c r="P30" s="166" t="str">
        <f>IF(ISERROR(VLOOKUP($L30,'Calc-Drivers'!$B$17:$G$27,P$42,FALSE))," ",VLOOKUP($L30,'Calc-Drivers'!$B$17:$G$27,P$42,FALSE))</f>
        <v> </v>
      </c>
      <c r="Q30" s="166" t="str">
        <f>IF(ISERROR(VLOOKUP($L30,'Calc-Drivers'!$B$17:$G$27,Q$42,FALSE))," ",VLOOKUP($L30,'Calc-Drivers'!$B$17:$G$27,Q$42,FALSE))</f>
        <v> </v>
      </c>
      <c r="R30" s="100"/>
      <c r="S30" s="101" t="str">
        <f t="shared" si="1"/>
        <v> </v>
      </c>
      <c r="T30" s="101" t="str">
        <f t="shared" si="2"/>
        <v> </v>
      </c>
      <c r="U30" s="101" t="str">
        <f t="shared" si="3"/>
        <v> </v>
      </c>
      <c r="V30" s="172" t="str">
        <f t="shared" si="4"/>
        <v> </v>
      </c>
      <c r="W30" s="172" t="str">
        <f t="shared" si="4"/>
        <v> </v>
      </c>
      <c r="X30" s="96"/>
      <c r="Y30" s="101" t="str">
        <f t="shared" si="5"/>
        <v> </v>
      </c>
      <c r="Z30" s="101" t="str">
        <f t="shared" si="6"/>
        <v> </v>
      </c>
      <c r="AA30" s="101" t="str">
        <f t="shared" si="7"/>
        <v> </v>
      </c>
      <c r="AB30" s="172" t="str">
        <f t="shared" si="10"/>
        <v> </v>
      </c>
      <c r="AC30" s="172" t="str">
        <f t="shared" si="10"/>
        <v> </v>
      </c>
      <c r="AD30" s="102"/>
      <c r="AE30" s="103" t="str">
        <f>IF(ISERROR(Y30*100000000/'Calc-Units'!$E$21)," ",Y30*100000000/'Calc-Units'!$E$21)</f>
        <v> </v>
      </c>
      <c r="AF30" s="103" t="str">
        <f>IF(ISERROR(Z30*100000000/'Calc-Units'!$D$21)," ",Z30*100000000/'Calc-Units'!$D$21)</f>
        <v> </v>
      </c>
      <c r="AG30" s="103" t="str">
        <f>IF(ISERROR(AA30*100000000/'Calc-Units'!$C$21)," ",AA30*100000000/'Calc-Units'!$C$21)</f>
        <v> </v>
      </c>
      <c r="AH30" s="287" t="str">
        <f>IF(ISERROR(AB30*100000000/'Calc-Units'!$C$21)," ",AB30*100000000/'Calc-Units'!$C$21)</f>
        <v> </v>
      </c>
      <c r="AI30" s="104"/>
      <c r="AJ30" s="114">
        <v>0</v>
      </c>
      <c r="AK30" s="98">
        <f t="shared" si="8"/>
        <v>0</v>
      </c>
      <c r="AL30" s="99">
        <f t="shared" si="9"/>
        <v>8.9</v>
      </c>
      <c r="AM30" s="98"/>
      <c r="AN30" s="98"/>
      <c r="AO30" s="101" t="str">
        <f t="shared" si="11"/>
        <v> </v>
      </c>
      <c r="AP30" s="101" t="str">
        <f t="shared" si="12"/>
        <v> </v>
      </c>
      <c r="AQ30" s="101" t="str">
        <f t="shared" si="13"/>
        <v> </v>
      </c>
      <c r="AR30" s="172" t="str">
        <f t="shared" si="14"/>
        <v> </v>
      </c>
      <c r="AS30" s="172" t="str">
        <f t="shared" si="14"/>
        <v> </v>
      </c>
      <c r="AT30" s="104"/>
      <c r="AU30" s="103" t="str">
        <f>IF(ISERROR(AO30*100000000/'Calc-Units'!$E$21)," ",AO30*100000000/'Calc-Units'!$E$21)</f>
        <v> </v>
      </c>
      <c r="AV30" s="103" t="str">
        <f>IF(ISERROR(AP30*100000000/'Calc-Units'!$D$21)," ",AP30*100000000/'Calc-Units'!$D$21)</f>
        <v> </v>
      </c>
      <c r="AW30" s="103" t="str">
        <f>IF(ISERROR(AQ30*100000000/'Calc-Units'!$C$21)," ",AQ30*100000000/'Calc-Units'!$C$21)</f>
        <v> </v>
      </c>
      <c r="AX30" s="287" t="str">
        <f>IF(ISERROR(AR30*100000000/'Calc-Units'!$C$21)," ",AR30*100000000/'Calc-Units'!$C$21)</f>
        <v> </v>
      </c>
      <c r="AZ30" s="96"/>
      <c r="BA30" s="96"/>
    </row>
    <row r="31" spans="1:53" s="95" customFormat="1" ht="12.75">
      <c r="A31" s="113"/>
      <c r="B31" s="137"/>
      <c r="C31" s="113" t="s">
        <v>445</v>
      </c>
      <c r="D31" s="155">
        <f>'RRP 1.3'!AC$12</f>
        <v>-0.1</v>
      </c>
      <c r="E31" s="155">
        <v>0</v>
      </c>
      <c r="F31" s="155">
        <v>0</v>
      </c>
      <c r="G31" s="155">
        <v>0</v>
      </c>
      <c r="H31" s="155">
        <v>0</v>
      </c>
      <c r="I31" s="155">
        <f t="shared" si="0"/>
        <v>-0.1</v>
      </c>
      <c r="J31" s="146"/>
      <c r="K31" s="98"/>
      <c r="L31" s="155" t="s">
        <v>183</v>
      </c>
      <c r="M31" s="166" t="str">
        <f>IF(ISERROR(VLOOKUP($L31,'Calc-Drivers'!$B$17:$G$27,M$42,FALSE))," ",VLOOKUP($L31,'Calc-Drivers'!$B$17:$G$27,M$42,FALSE))</f>
        <v> </v>
      </c>
      <c r="N31" s="166" t="str">
        <f>IF(ISERROR(VLOOKUP($L31,'Calc-Drivers'!$B$17:$G$27,N$42,FALSE))," ",VLOOKUP($L31,'Calc-Drivers'!$B$17:$G$27,N$42,FALSE))</f>
        <v> </v>
      </c>
      <c r="O31" s="166" t="str">
        <f>IF(ISERROR(VLOOKUP($L31,'Calc-Drivers'!$B$17:$G$27,O$42,FALSE))," ",VLOOKUP($L31,'Calc-Drivers'!$B$17:$G$27,O$42,FALSE))</f>
        <v> </v>
      </c>
      <c r="P31" s="166" t="str">
        <f>IF(ISERROR(VLOOKUP($L31,'Calc-Drivers'!$B$17:$G$27,P$42,FALSE))," ",VLOOKUP($L31,'Calc-Drivers'!$B$17:$G$27,P$42,FALSE))</f>
        <v> </v>
      </c>
      <c r="Q31" s="166" t="str">
        <f>IF(ISERROR(VLOOKUP($L31,'Calc-Drivers'!$B$17:$G$27,Q$42,FALSE))," ",VLOOKUP($L31,'Calc-Drivers'!$B$17:$G$27,Q$42,FALSE))</f>
        <v> </v>
      </c>
      <c r="R31" s="100"/>
      <c r="S31" s="101" t="str">
        <f t="shared" si="1"/>
        <v> </v>
      </c>
      <c r="T31" s="101" t="str">
        <f t="shared" si="2"/>
        <v> </v>
      </c>
      <c r="U31" s="101" t="str">
        <f t="shared" si="3"/>
        <v> </v>
      </c>
      <c r="V31" s="172" t="str">
        <f t="shared" si="4"/>
        <v> </v>
      </c>
      <c r="W31" s="172" t="str">
        <f t="shared" si="4"/>
        <v> </v>
      </c>
      <c r="X31" s="96"/>
      <c r="Y31" s="101" t="str">
        <f t="shared" si="5"/>
        <v> </v>
      </c>
      <c r="Z31" s="101" t="str">
        <f t="shared" si="6"/>
        <v> </v>
      </c>
      <c r="AA31" s="101" t="str">
        <f t="shared" si="7"/>
        <v> </v>
      </c>
      <c r="AB31" s="172" t="str">
        <f t="shared" si="10"/>
        <v> </v>
      </c>
      <c r="AC31" s="172" t="str">
        <f t="shared" si="10"/>
        <v> </v>
      </c>
      <c r="AD31" s="102"/>
      <c r="AE31" s="103" t="str">
        <f>IF(ISERROR(Y31*100000000/'Calc-Units'!$E$21)," ",Y31*100000000/'Calc-Units'!$E$21)</f>
        <v> </v>
      </c>
      <c r="AF31" s="103" t="str">
        <f>IF(ISERROR(Z31*100000000/'Calc-Units'!$D$21)," ",Z31*100000000/'Calc-Units'!$D$21)</f>
        <v> </v>
      </c>
      <c r="AG31" s="103" t="str">
        <f>IF(ISERROR(AA31*100000000/'Calc-Units'!$C$21)," ",AA31*100000000/'Calc-Units'!$C$21)</f>
        <v> </v>
      </c>
      <c r="AH31" s="287" t="str">
        <f>IF(ISERROR(AB31*100000000/'Calc-Units'!$C$21)," ",AB31*100000000/'Calc-Units'!$C$21)</f>
        <v> </v>
      </c>
      <c r="AI31" s="104"/>
      <c r="AJ31" s="114">
        <v>0</v>
      </c>
      <c r="AK31" s="98">
        <f t="shared" si="8"/>
        <v>0</v>
      </c>
      <c r="AL31" s="99">
        <f t="shared" si="9"/>
        <v>-0.1</v>
      </c>
      <c r="AM31" s="98"/>
      <c r="AN31" s="98"/>
      <c r="AO31" s="101" t="str">
        <f t="shared" si="11"/>
        <v> </v>
      </c>
      <c r="AP31" s="101" t="str">
        <f t="shared" si="12"/>
        <v> </v>
      </c>
      <c r="AQ31" s="101" t="str">
        <f t="shared" si="13"/>
        <v> </v>
      </c>
      <c r="AR31" s="172" t="str">
        <f t="shared" si="14"/>
        <v> </v>
      </c>
      <c r="AS31" s="172" t="str">
        <f t="shared" si="14"/>
        <v> </v>
      </c>
      <c r="AT31" s="104"/>
      <c r="AU31" s="103" t="str">
        <f>IF(ISERROR(AO31*100000000/'Calc-Units'!$E$21)," ",AO31*100000000/'Calc-Units'!$E$21)</f>
        <v> </v>
      </c>
      <c r="AV31" s="103" t="str">
        <f>IF(ISERROR(AP31*100000000/'Calc-Units'!$D$21)," ",AP31*100000000/'Calc-Units'!$D$21)</f>
        <v> </v>
      </c>
      <c r="AW31" s="103" t="str">
        <f>IF(ISERROR(AQ31*100000000/'Calc-Units'!$C$21)," ",AQ31*100000000/'Calc-Units'!$C$21)</f>
        <v> </v>
      </c>
      <c r="AX31" s="287" t="str">
        <f>IF(ISERROR(AR31*100000000/'Calc-Units'!$C$21)," ",AR31*100000000/'Calc-Units'!$C$21)</f>
        <v> </v>
      </c>
      <c r="AZ31" s="96"/>
      <c r="BA31" s="96"/>
    </row>
    <row r="32" spans="1:53" s="95" customFormat="1" ht="12.75">
      <c r="A32" s="113"/>
      <c r="B32" s="137"/>
      <c r="C32" s="113" t="s">
        <v>587</v>
      </c>
      <c r="D32" s="155">
        <f>'RRP 1.3'!AD$12</f>
        <v>0.1</v>
      </c>
      <c r="E32" s="155">
        <v>0</v>
      </c>
      <c r="F32" s="155">
        <v>0</v>
      </c>
      <c r="G32" s="155">
        <v>0</v>
      </c>
      <c r="H32" s="155">
        <v>0</v>
      </c>
      <c r="I32" s="155">
        <f t="shared" si="0"/>
        <v>0.1</v>
      </c>
      <c r="J32" s="146"/>
      <c r="K32" s="98"/>
      <c r="L32" s="155" t="s">
        <v>183</v>
      </c>
      <c r="M32" s="166" t="str">
        <f>IF(ISERROR(VLOOKUP($L32,'Calc-Drivers'!$B$17:$G$27,M$42,FALSE))," ",VLOOKUP($L32,'Calc-Drivers'!$B$17:$G$27,M$42,FALSE))</f>
        <v> </v>
      </c>
      <c r="N32" s="166" t="str">
        <f>IF(ISERROR(VLOOKUP($L32,'Calc-Drivers'!$B$17:$G$27,N$42,FALSE))," ",VLOOKUP($L32,'Calc-Drivers'!$B$17:$G$27,N$42,FALSE))</f>
        <v> </v>
      </c>
      <c r="O32" s="166" t="str">
        <f>IF(ISERROR(VLOOKUP($L32,'Calc-Drivers'!$B$17:$G$27,O$42,FALSE))," ",VLOOKUP($L32,'Calc-Drivers'!$B$17:$G$27,O$42,FALSE))</f>
        <v> </v>
      </c>
      <c r="P32" s="166" t="str">
        <f>IF(ISERROR(VLOOKUP($L32,'Calc-Drivers'!$B$17:$G$27,P$42,FALSE))," ",VLOOKUP($L32,'Calc-Drivers'!$B$17:$G$27,P$42,FALSE))</f>
        <v> </v>
      </c>
      <c r="Q32" s="166" t="str">
        <f>IF(ISERROR(VLOOKUP($L32,'Calc-Drivers'!$B$17:$G$27,Q$42,FALSE))," ",VLOOKUP($L32,'Calc-Drivers'!$B$17:$G$27,Q$42,FALSE))</f>
        <v> </v>
      </c>
      <c r="R32" s="100"/>
      <c r="S32" s="101" t="str">
        <f t="shared" si="1"/>
        <v> </v>
      </c>
      <c r="T32" s="101" t="str">
        <f t="shared" si="2"/>
        <v> </v>
      </c>
      <c r="U32" s="101" t="str">
        <f t="shared" si="3"/>
        <v> </v>
      </c>
      <c r="V32" s="172" t="str">
        <f t="shared" si="4"/>
        <v> </v>
      </c>
      <c r="W32" s="172" t="str">
        <f t="shared" si="4"/>
        <v> </v>
      </c>
      <c r="X32" s="96"/>
      <c r="Y32" s="101" t="str">
        <f t="shared" si="5"/>
        <v> </v>
      </c>
      <c r="Z32" s="101" t="str">
        <f t="shared" si="6"/>
        <v> </v>
      </c>
      <c r="AA32" s="101" t="str">
        <f t="shared" si="7"/>
        <v> </v>
      </c>
      <c r="AB32" s="172" t="str">
        <f t="shared" si="10"/>
        <v> </v>
      </c>
      <c r="AC32" s="172" t="str">
        <f t="shared" si="10"/>
        <v> </v>
      </c>
      <c r="AD32" s="102"/>
      <c r="AE32" s="103" t="str">
        <f>IF(ISERROR(Y32*100000000/'Calc-Units'!$E$21)," ",Y32*100000000/'Calc-Units'!$E$21)</f>
        <v> </v>
      </c>
      <c r="AF32" s="103" t="str">
        <f>IF(ISERROR(Z32*100000000/'Calc-Units'!$D$21)," ",Z32*100000000/'Calc-Units'!$D$21)</f>
        <v> </v>
      </c>
      <c r="AG32" s="103" t="str">
        <f>IF(ISERROR(AA32*100000000/'Calc-Units'!$C$21)," ",AA32*100000000/'Calc-Units'!$C$21)</f>
        <v> </v>
      </c>
      <c r="AH32" s="287" t="str">
        <f>IF(ISERROR(AB32*100000000/'Calc-Units'!$C$21)," ",AB32*100000000/'Calc-Units'!$C$21)</f>
        <v> </v>
      </c>
      <c r="AI32" s="104"/>
      <c r="AJ32" s="114">
        <v>0</v>
      </c>
      <c r="AK32" s="98">
        <f t="shared" si="8"/>
        <v>0</v>
      </c>
      <c r="AL32" s="99">
        <f t="shared" si="9"/>
        <v>0.1</v>
      </c>
      <c r="AM32" s="98"/>
      <c r="AN32" s="98"/>
      <c r="AO32" s="101" t="str">
        <f t="shared" si="11"/>
        <v> </v>
      </c>
      <c r="AP32" s="101" t="str">
        <f t="shared" si="12"/>
        <v> </v>
      </c>
      <c r="AQ32" s="101" t="str">
        <f t="shared" si="13"/>
        <v> </v>
      </c>
      <c r="AR32" s="172" t="str">
        <f t="shared" si="14"/>
        <v> </v>
      </c>
      <c r="AS32" s="172" t="str">
        <f t="shared" si="14"/>
        <v> </v>
      </c>
      <c r="AT32" s="104"/>
      <c r="AU32" s="103" t="str">
        <f>IF(ISERROR(AO32*100000000/'Calc-Units'!$E$21)," ",AO32*100000000/'Calc-Units'!$E$21)</f>
        <v> </v>
      </c>
      <c r="AV32" s="103" t="str">
        <f>IF(ISERROR(AP32*100000000/'Calc-Units'!$D$21)," ",AP32*100000000/'Calc-Units'!$D$21)</f>
        <v> </v>
      </c>
      <c r="AW32" s="103" t="str">
        <f>IF(ISERROR(AQ32*100000000/'Calc-Units'!$C$21)," ",AQ32*100000000/'Calc-Units'!$C$21)</f>
        <v> </v>
      </c>
      <c r="AX32" s="287" t="str">
        <f>IF(ISERROR(AR32*100000000/'Calc-Units'!$C$21)," ",AR32*100000000/'Calc-Units'!$C$21)</f>
        <v> </v>
      </c>
      <c r="AZ32" s="96"/>
      <c r="BA32" s="96"/>
    </row>
    <row r="33" spans="1:53" s="95" customFormat="1" ht="12.75">
      <c r="A33" s="113"/>
      <c r="B33" s="137"/>
      <c r="C33" s="113" t="s">
        <v>446</v>
      </c>
      <c r="D33" s="155">
        <f>'RRP 1.3'!AE$12</f>
        <v>-2.7755575615628914E-17</v>
      </c>
      <c r="E33" s="155">
        <v>0</v>
      </c>
      <c r="F33" s="155">
        <v>0</v>
      </c>
      <c r="G33" s="155">
        <v>0</v>
      </c>
      <c r="H33" s="155">
        <v>0</v>
      </c>
      <c r="I33" s="155">
        <f t="shared" si="0"/>
        <v>-2.7755575615628914E-17</v>
      </c>
      <c r="J33" s="146"/>
      <c r="K33" s="98"/>
      <c r="L33" s="155" t="s">
        <v>183</v>
      </c>
      <c r="M33" s="166" t="str">
        <f>IF(ISERROR(VLOOKUP($L33,'Calc-Drivers'!$B$17:$G$27,M$42,FALSE))," ",VLOOKUP($L33,'Calc-Drivers'!$B$17:$G$27,M$42,FALSE))</f>
        <v> </v>
      </c>
      <c r="N33" s="166" t="str">
        <f>IF(ISERROR(VLOOKUP($L33,'Calc-Drivers'!$B$17:$G$27,N$42,FALSE))," ",VLOOKUP($L33,'Calc-Drivers'!$B$17:$G$27,N$42,FALSE))</f>
        <v> </v>
      </c>
      <c r="O33" s="166" t="str">
        <f>IF(ISERROR(VLOOKUP($L33,'Calc-Drivers'!$B$17:$G$27,O$42,FALSE))," ",VLOOKUP($L33,'Calc-Drivers'!$B$17:$G$27,O$42,FALSE))</f>
        <v> </v>
      </c>
      <c r="P33" s="166" t="str">
        <f>IF(ISERROR(VLOOKUP($L33,'Calc-Drivers'!$B$17:$G$27,P$42,FALSE))," ",VLOOKUP($L33,'Calc-Drivers'!$B$17:$G$27,P$42,FALSE))</f>
        <v> </v>
      </c>
      <c r="Q33" s="166" t="str">
        <f>IF(ISERROR(VLOOKUP($L33,'Calc-Drivers'!$B$17:$G$27,Q$42,FALSE))," ",VLOOKUP($L33,'Calc-Drivers'!$B$17:$G$27,Q$42,FALSE))</f>
        <v> </v>
      </c>
      <c r="R33" s="100"/>
      <c r="S33" s="101" t="str">
        <f t="shared" si="1"/>
        <v> </v>
      </c>
      <c r="T33" s="101" t="str">
        <f t="shared" si="2"/>
        <v> </v>
      </c>
      <c r="U33" s="101" t="str">
        <f t="shared" si="3"/>
        <v> </v>
      </c>
      <c r="V33" s="172" t="str">
        <f t="shared" si="4"/>
        <v> </v>
      </c>
      <c r="W33" s="172" t="str">
        <f t="shared" si="4"/>
        <v> </v>
      </c>
      <c r="X33" s="96"/>
      <c r="Y33" s="101" t="str">
        <f t="shared" si="5"/>
        <v> </v>
      </c>
      <c r="Z33" s="101" t="str">
        <f t="shared" si="6"/>
        <v> </v>
      </c>
      <c r="AA33" s="101" t="str">
        <f t="shared" si="7"/>
        <v> </v>
      </c>
      <c r="AB33" s="172" t="str">
        <f t="shared" si="10"/>
        <v> </v>
      </c>
      <c r="AC33" s="172" t="str">
        <f t="shared" si="10"/>
        <v> </v>
      </c>
      <c r="AD33" s="102"/>
      <c r="AE33" s="103" t="str">
        <f>IF(ISERROR(Y33*100000000/'Calc-Units'!$E$21)," ",Y33*100000000/'Calc-Units'!$E$21)</f>
        <v> </v>
      </c>
      <c r="AF33" s="103" t="str">
        <f>IF(ISERROR(Z33*100000000/'Calc-Units'!$D$21)," ",Z33*100000000/'Calc-Units'!$D$21)</f>
        <v> </v>
      </c>
      <c r="AG33" s="103" t="str">
        <f>IF(ISERROR(AA33*100000000/'Calc-Units'!$C$21)," ",AA33*100000000/'Calc-Units'!$C$21)</f>
        <v> </v>
      </c>
      <c r="AH33" s="287" t="str">
        <f>IF(ISERROR(AB33*100000000/'Calc-Units'!$C$21)," ",AB33*100000000/'Calc-Units'!$C$21)</f>
        <v> </v>
      </c>
      <c r="AI33" s="104"/>
      <c r="AJ33" s="114">
        <v>0</v>
      </c>
      <c r="AK33" s="98">
        <f t="shared" si="8"/>
        <v>0</v>
      </c>
      <c r="AL33" s="99">
        <f t="shared" si="9"/>
        <v>-2.7755575615628914E-17</v>
      </c>
      <c r="AM33" s="98"/>
      <c r="AN33" s="98"/>
      <c r="AO33" s="101" t="str">
        <f t="shared" si="11"/>
        <v> </v>
      </c>
      <c r="AP33" s="101" t="str">
        <f t="shared" si="12"/>
        <v> </v>
      </c>
      <c r="AQ33" s="101" t="str">
        <f t="shared" si="13"/>
        <v> </v>
      </c>
      <c r="AR33" s="172" t="str">
        <f t="shared" si="14"/>
        <v> </v>
      </c>
      <c r="AS33" s="172" t="str">
        <f t="shared" si="14"/>
        <v> </v>
      </c>
      <c r="AT33" s="104"/>
      <c r="AU33" s="103" t="str">
        <f>IF(ISERROR(AO33*100000000/'Calc-Units'!$E$21)," ",AO33*100000000/'Calc-Units'!$E$21)</f>
        <v> </v>
      </c>
      <c r="AV33" s="103" t="str">
        <f>IF(ISERROR(AP33*100000000/'Calc-Units'!$D$21)," ",AP33*100000000/'Calc-Units'!$D$21)</f>
        <v> </v>
      </c>
      <c r="AW33" s="103" t="str">
        <f>IF(ISERROR(AQ33*100000000/'Calc-Units'!$C$21)," ",AQ33*100000000/'Calc-Units'!$C$21)</f>
        <v> </v>
      </c>
      <c r="AX33" s="287" t="str">
        <f>IF(ISERROR(AR33*100000000/'Calc-Units'!$C$21)," ",AR33*100000000/'Calc-Units'!$C$21)</f>
        <v> </v>
      </c>
      <c r="AZ33" s="96"/>
      <c r="BA33" s="96"/>
    </row>
    <row r="34" spans="1:53" s="95" customFormat="1" ht="12.75">
      <c r="A34" s="113"/>
      <c r="B34" s="137"/>
      <c r="C34" s="113" t="s">
        <v>447</v>
      </c>
      <c r="D34" s="155">
        <f>'RRP 1.3'!AF$12</f>
        <v>25.3</v>
      </c>
      <c r="E34" s="155">
        <v>0</v>
      </c>
      <c r="F34" s="155">
        <v>0</v>
      </c>
      <c r="G34" s="155">
        <v>0</v>
      </c>
      <c r="H34" s="155">
        <v>0</v>
      </c>
      <c r="I34" s="155">
        <f t="shared" si="0"/>
        <v>25.3</v>
      </c>
      <c r="J34" s="146"/>
      <c r="K34" s="98"/>
      <c r="L34" s="155" t="s">
        <v>183</v>
      </c>
      <c r="M34" s="166" t="str">
        <f>IF(ISERROR(VLOOKUP($L34,'Calc-Drivers'!$B$17:$G$27,M$42,FALSE))," ",VLOOKUP($L34,'Calc-Drivers'!$B$17:$G$27,M$42,FALSE))</f>
        <v> </v>
      </c>
      <c r="N34" s="166" t="str">
        <f>IF(ISERROR(VLOOKUP($L34,'Calc-Drivers'!$B$17:$G$27,N$42,FALSE))," ",VLOOKUP($L34,'Calc-Drivers'!$B$17:$G$27,N$42,FALSE))</f>
        <v> </v>
      </c>
      <c r="O34" s="166" t="str">
        <f>IF(ISERROR(VLOOKUP($L34,'Calc-Drivers'!$B$17:$G$27,O$42,FALSE))," ",VLOOKUP($L34,'Calc-Drivers'!$B$17:$G$27,O$42,FALSE))</f>
        <v> </v>
      </c>
      <c r="P34" s="166" t="str">
        <f>IF(ISERROR(VLOOKUP($L34,'Calc-Drivers'!$B$17:$G$27,P$42,FALSE))," ",VLOOKUP($L34,'Calc-Drivers'!$B$17:$G$27,P$42,FALSE))</f>
        <v> </v>
      </c>
      <c r="Q34" s="166" t="str">
        <f>IF(ISERROR(VLOOKUP($L34,'Calc-Drivers'!$B$17:$G$27,Q$42,FALSE))," ",VLOOKUP($L34,'Calc-Drivers'!$B$17:$G$27,Q$42,FALSE))</f>
        <v> </v>
      </c>
      <c r="R34" s="100"/>
      <c r="S34" s="101" t="str">
        <f t="shared" si="1"/>
        <v> </v>
      </c>
      <c r="T34" s="101" t="str">
        <f t="shared" si="2"/>
        <v> </v>
      </c>
      <c r="U34" s="101" t="str">
        <f t="shared" si="3"/>
        <v> </v>
      </c>
      <c r="V34" s="172" t="str">
        <f t="shared" si="4"/>
        <v> </v>
      </c>
      <c r="W34" s="172" t="str">
        <f t="shared" si="4"/>
        <v> </v>
      </c>
      <c r="X34" s="96"/>
      <c r="Y34" s="101" t="str">
        <f t="shared" si="5"/>
        <v> </v>
      </c>
      <c r="Z34" s="101" t="str">
        <f t="shared" si="6"/>
        <v> </v>
      </c>
      <c r="AA34" s="101" t="str">
        <f t="shared" si="7"/>
        <v> </v>
      </c>
      <c r="AB34" s="172" t="str">
        <f t="shared" si="10"/>
        <v> </v>
      </c>
      <c r="AC34" s="172" t="str">
        <f t="shared" si="10"/>
        <v> </v>
      </c>
      <c r="AD34" s="102"/>
      <c r="AE34" s="103" t="str">
        <f>IF(ISERROR(Y34*100000000/'Calc-Units'!$E$21)," ",Y34*100000000/'Calc-Units'!$E$21)</f>
        <v> </v>
      </c>
      <c r="AF34" s="103" t="str">
        <f>IF(ISERROR(Z34*100000000/'Calc-Units'!$D$21)," ",Z34*100000000/'Calc-Units'!$D$21)</f>
        <v> </v>
      </c>
      <c r="AG34" s="103" t="str">
        <f>IF(ISERROR(AA34*100000000/'Calc-Units'!$C$21)," ",AA34*100000000/'Calc-Units'!$C$21)</f>
        <v> </v>
      </c>
      <c r="AH34" s="287" t="str">
        <f>IF(ISERROR(AB34*100000000/'Calc-Units'!$C$21)," ",AB34*100000000/'Calc-Units'!$C$21)</f>
        <v> </v>
      </c>
      <c r="AI34" s="104"/>
      <c r="AJ34" s="114">
        <v>0</v>
      </c>
      <c r="AK34" s="98">
        <f t="shared" si="8"/>
        <v>0</v>
      </c>
      <c r="AL34" s="99">
        <f t="shared" si="9"/>
        <v>25.3</v>
      </c>
      <c r="AM34" s="98"/>
      <c r="AN34" s="98"/>
      <c r="AO34" s="101" t="str">
        <f t="shared" si="11"/>
        <v> </v>
      </c>
      <c r="AP34" s="101" t="str">
        <f t="shared" si="12"/>
        <v> </v>
      </c>
      <c r="AQ34" s="101" t="str">
        <f t="shared" si="13"/>
        <v> </v>
      </c>
      <c r="AR34" s="172" t="str">
        <f t="shared" si="14"/>
        <v> </v>
      </c>
      <c r="AS34" s="172" t="str">
        <f t="shared" si="14"/>
        <v> </v>
      </c>
      <c r="AT34" s="104"/>
      <c r="AU34" s="103" t="str">
        <f>IF(ISERROR(AO34*100000000/'Calc-Units'!$E$21)," ",AO34*100000000/'Calc-Units'!$E$21)</f>
        <v> </v>
      </c>
      <c r="AV34" s="103" t="str">
        <f>IF(ISERROR(AP34*100000000/'Calc-Units'!$D$21)," ",AP34*100000000/'Calc-Units'!$D$21)</f>
        <v> </v>
      </c>
      <c r="AW34" s="103" t="str">
        <f>IF(ISERROR(AQ34*100000000/'Calc-Units'!$C$21)," ",AQ34*100000000/'Calc-Units'!$C$21)</f>
        <v> </v>
      </c>
      <c r="AX34" s="287" t="str">
        <f>IF(ISERROR(AR34*100000000/'Calc-Units'!$C$21)," ",AR34*100000000/'Calc-Units'!$C$21)</f>
        <v> </v>
      </c>
      <c r="AZ34" s="96"/>
      <c r="BA34" s="96"/>
    </row>
    <row r="35" spans="1:53" s="95" customFormat="1" ht="12.75">
      <c r="A35" s="113"/>
      <c r="B35" s="137"/>
      <c r="C35" s="113" t="s">
        <v>448</v>
      </c>
      <c r="D35" s="155">
        <f>'RRP 1.3'!AG$12</f>
        <v>15.1</v>
      </c>
      <c r="E35" s="155">
        <v>0</v>
      </c>
      <c r="F35" s="155">
        <v>0</v>
      </c>
      <c r="G35" s="155">
        <v>0</v>
      </c>
      <c r="H35" s="155">
        <v>0</v>
      </c>
      <c r="I35" s="155">
        <f t="shared" si="0"/>
        <v>15.1</v>
      </c>
      <c r="J35" s="146"/>
      <c r="K35" s="98"/>
      <c r="L35" s="155" t="s">
        <v>183</v>
      </c>
      <c r="M35" s="166" t="str">
        <f>IF(ISERROR(VLOOKUP($L35,'Calc-Drivers'!$B$17:$G$27,M$42,FALSE))," ",VLOOKUP($L35,'Calc-Drivers'!$B$17:$G$27,M$42,FALSE))</f>
        <v> </v>
      </c>
      <c r="N35" s="166" t="str">
        <f>IF(ISERROR(VLOOKUP($L35,'Calc-Drivers'!$B$17:$G$27,N$42,FALSE))," ",VLOOKUP($L35,'Calc-Drivers'!$B$17:$G$27,N$42,FALSE))</f>
        <v> </v>
      </c>
      <c r="O35" s="166" t="str">
        <f>IF(ISERROR(VLOOKUP($L35,'Calc-Drivers'!$B$17:$G$27,O$42,FALSE))," ",VLOOKUP($L35,'Calc-Drivers'!$B$17:$G$27,O$42,FALSE))</f>
        <v> </v>
      </c>
      <c r="P35" s="166" t="str">
        <f>IF(ISERROR(VLOOKUP($L35,'Calc-Drivers'!$B$17:$G$27,P$42,FALSE))," ",VLOOKUP($L35,'Calc-Drivers'!$B$17:$G$27,P$42,FALSE))</f>
        <v> </v>
      </c>
      <c r="Q35" s="166" t="str">
        <f>IF(ISERROR(VLOOKUP($L35,'Calc-Drivers'!$B$17:$G$27,Q$42,FALSE))," ",VLOOKUP($L35,'Calc-Drivers'!$B$17:$G$27,Q$42,FALSE))</f>
        <v> </v>
      </c>
      <c r="R35" s="100"/>
      <c r="S35" s="101" t="str">
        <f t="shared" si="1"/>
        <v> </v>
      </c>
      <c r="T35" s="101" t="str">
        <f t="shared" si="2"/>
        <v> </v>
      </c>
      <c r="U35" s="101" t="str">
        <f t="shared" si="3"/>
        <v> </v>
      </c>
      <c r="V35" s="172" t="str">
        <f t="shared" si="4"/>
        <v> </v>
      </c>
      <c r="W35" s="172" t="str">
        <f t="shared" si="4"/>
        <v> </v>
      </c>
      <c r="X35" s="96"/>
      <c r="Y35" s="101" t="str">
        <f t="shared" si="5"/>
        <v> </v>
      </c>
      <c r="Z35" s="101" t="str">
        <f t="shared" si="6"/>
        <v> </v>
      </c>
      <c r="AA35" s="101" t="str">
        <f t="shared" si="7"/>
        <v> </v>
      </c>
      <c r="AB35" s="172" t="str">
        <f t="shared" si="10"/>
        <v> </v>
      </c>
      <c r="AC35" s="172" t="str">
        <f t="shared" si="10"/>
        <v> </v>
      </c>
      <c r="AD35" s="102"/>
      <c r="AE35" s="103" t="str">
        <f>IF(ISERROR(Y35*100000000/'Calc-Units'!$E$21)," ",Y35*100000000/'Calc-Units'!$E$21)</f>
        <v> </v>
      </c>
      <c r="AF35" s="103" t="str">
        <f>IF(ISERROR(Z35*100000000/'Calc-Units'!$D$21)," ",Z35*100000000/'Calc-Units'!$D$21)</f>
        <v> </v>
      </c>
      <c r="AG35" s="103" t="str">
        <f>IF(ISERROR(AA35*100000000/'Calc-Units'!$C$21)," ",AA35*100000000/'Calc-Units'!$C$21)</f>
        <v> </v>
      </c>
      <c r="AH35" s="287" t="str">
        <f>IF(ISERROR(AB35*100000000/'Calc-Units'!$C$21)," ",AB35*100000000/'Calc-Units'!$C$21)</f>
        <v> </v>
      </c>
      <c r="AI35" s="104"/>
      <c r="AJ35" s="114">
        <v>0</v>
      </c>
      <c r="AK35" s="98">
        <f t="shared" si="8"/>
        <v>0</v>
      </c>
      <c r="AL35" s="99">
        <f t="shared" si="9"/>
        <v>15.1</v>
      </c>
      <c r="AM35" s="98"/>
      <c r="AN35" s="98"/>
      <c r="AO35" s="101" t="str">
        <f t="shared" si="11"/>
        <v> </v>
      </c>
      <c r="AP35" s="101" t="str">
        <f t="shared" si="12"/>
        <v> </v>
      </c>
      <c r="AQ35" s="101" t="str">
        <f t="shared" si="13"/>
        <v> </v>
      </c>
      <c r="AR35" s="172" t="str">
        <f t="shared" si="14"/>
        <v> </v>
      </c>
      <c r="AS35" s="172" t="str">
        <f t="shared" si="14"/>
        <v> </v>
      </c>
      <c r="AT35" s="104"/>
      <c r="AU35" s="103" t="str">
        <f>IF(ISERROR(AO35*100000000/'Calc-Units'!$E$21)," ",AO35*100000000/'Calc-Units'!$E$21)</f>
        <v> </v>
      </c>
      <c r="AV35" s="103" t="str">
        <f>IF(ISERROR(AP35*100000000/'Calc-Units'!$D$21)," ",AP35*100000000/'Calc-Units'!$D$21)</f>
        <v> </v>
      </c>
      <c r="AW35" s="103" t="str">
        <f>IF(ISERROR(AQ35*100000000/'Calc-Units'!$C$21)," ",AQ35*100000000/'Calc-Units'!$C$21)</f>
        <v> </v>
      </c>
      <c r="AX35" s="287" t="str">
        <f>IF(ISERROR(AR35*100000000/'Calc-Units'!$C$21)," ",AR35*100000000/'Calc-Units'!$C$21)</f>
        <v> </v>
      </c>
      <c r="AZ35" s="96"/>
      <c r="BA35" s="96"/>
    </row>
    <row r="36" spans="1:53" s="95" customFormat="1" ht="12.75">
      <c r="A36" s="113"/>
      <c r="B36" s="137"/>
      <c r="C36" s="113" t="s">
        <v>328</v>
      </c>
      <c r="D36" s="155">
        <f>'RRP 1.3'!AH$12</f>
        <v>4.2</v>
      </c>
      <c r="E36" s="155">
        <v>0</v>
      </c>
      <c r="F36" s="155">
        <v>0</v>
      </c>
      <c r="G36" s="155">
        <v>0</v>
      </c>
      <c r="H36" s="155">
        <v>0</v>
      </c>
      <c r="I36" s="155">
        <f t="shared" si="0"/>
        <v>4.2</v>
      </c>
      <c r="J36" s="146"/>
      <c r="K36" s="98"/>
      <c r="L36" s="155" t="s">
        <v>183</v>
      </c>
      <c r="M36" s="166" t="str">
        <f>IF(ISERROR(VLOOKUP($L36,'Calc-Drivers'!$B$17:$G$27,M$42,FALSE))," ",VLOOKUP($L36,'Calc-Drivers'!$B$17:$G$27,M$42,FALSE))</f>
        <v> </v>
      </c>
      <c r="N36" s="166" t="str">
        <f>IF(ISERROR(VLOOKUP($L36,'Calc-Drivers'!$B$17:$G$27,N$42,FALSE))," ",VLOOKUP($L36,'Calc-Drivers'!$B$17:$G$27,N$42,FALSE))</f>
        <v> </v>
      </c>
      <c r="O36" s="166" t="str">
        <f>IF(ISERROR(VLOOKUP($L36,'Calc-Drivers'!$B$17:$G$27,O$42,FALSE))," ",VLOOKUP($L36,'Calc-Drivers'!$B$17:$G$27,O$42,FALSE))</f>
        <v> </v>
      </c>
      <c r="P36" s="166" t="str">
        <f>IF(ISERROR(VLOOKUP($L36,'Calc-Drivers'!$B$17:$G$27,P$42,FALSE))," ",VLOOKUP($L36,'Calc-Drivers'!$B$17:$G$27,P$42,FALSE))</f>
        <v> </v>
      </c>
      <c r="Q36" s="166" t="str">
        <f>IF(ISERROR(VLOOKUP($L36,'Calc-Drivers'!$B$17:$G$27,Q$42,FALSE))," ",VLOOKUP($L36,'Calc-Drivers'!$B$17:$G$27,Q$42,FALSE))</f>
        <v> </v>
      </c>
      <c r="R36" s="100"/>
      <c r="S36" s="101" t="str">
        <f t="shared" si="1"/>
        <v> </v>
      </c>
      <c r="T36" s="101" t="str">
        <f t="shared" si="2"/>
        <v> </v>
      </c>
      <c r="U36" s="101" t="str">
        <f t="shared" si="3"/>
        <v> </v>
      </c>
      <c r="V36" s="172" t="str">
        <f t="shared" si="4"/>
        <v> </v>
      </c>
      <c r="W36" s="172" t="str">
        <f t="shared" si="4"/>
        <v> </v>
      </c>
      <c r="X36" s="96"/>
      <c r="Y36" s="101" t="str">
        <f t="shared" si="5"/>
        <v> </v>
      </c>
      <c r="Z36" s="101" t="str">
        <f t="shared" si="6"/>
        <v> </v>
      </c>
      <c r="AA36" s="101" t="str">
        <f t="shared" si="7"/>
        <v> </v>
      </c>
      <c r="AB36" s="172">
        <v>0</v>
      </c>
      <c r="AC36" s="172">
        <v>0</v>
      </c>
      <c r="AD36" s="102"/>
      <c r="AE36" s="103" t="str">
        <f>IF(ISERROR(Y36*100000000/'Calc-Units'!$E$21)," ",Y36*100000000/'Calc-Units'!$E$21)</f>
        <v> </v>
      </c>
      <c r="AF36" s="103" t="str">
        <f>IF(ISERROR(Z36*100000000/'Calc-Units'!$D$21)," ",Z36*100000000/'Calc-Units'!$D$21)</f>
        <v> </v>
      </c>
      <c r="AG36" s="103" t="str">
        <f>IF(ISERROR(AA36*100000000/'Calc-Units'!$C$21)," ",AA36*100000000/'Calc-Units'!$C$21)</f>
        <v> </v>
      </c>
      <c r="AH36" s="287">
        <f>IF(ISERROR(AB36*100000000/'Calc-Units'!$C$21)," ",AB36*100000000/'Calc-Units'!$C$21)</f>
        <v>0</v>
      </c>
      <c r="AI36" s="104"/>
      <c r="AJ36" s="114">
        <v>0</v>
      </c>
      <c r="AK36" s="98">
        <f t="shared" si="8"/>
        <v>0</v>
      </c>
      <c r="AL36" s="99">
        <f t="shared" si="9"/>
        <v>4.2</v>
      </c>
      <c r="AM36" s="98"/>
      <c r="AN36" s="98"/>
      <c r="AO36" s="101" t="str">
        <f t="shared" si="11"/>
        <v> </v>
      </c>
      <c r="AP36" s="101" t="str">
        <f t="shared" si="12"/>
        <v> </v>
      </c>
      <c r="AQ36" s="101" t="str">
        <f t="shared" si="13"/>
        <v> </v>
      </c>
      <c r="AR36" s="172">
        <f t="shared" si="14"/>
        <v>0</v>
      </c>
      <c r="AS36" s="172">
        <f t="shared" si="14"/>
        <v>0</v>
      </c>
      <c r="AT36" s="104"/>
      <c r="AU36" s="103" t="str">
        <f>IF(ISERROR(AO36*100000000/'Calc-Units'!$E$21)," ",AO36*100000000/'Calc-Units'!$E$21)</f>
        <v> </v>
      </c>
      <c r="AV36" s="103" t="str">
        <f>IF(ISERROR(AP36*100000000/'Calc-Units'!$D$21)," ",AP36*100000000/'Calc-Units'!$D$21)</f>
        <v> </v>
      </c>
      <c r="AW36" s="103" t="str">
        <f>IF(ISERROR(AQ36*100000000/'Calc-Units'!$C$21)," ",AQ36*100000000/'Calc-Units'!$C$21)</f>
        <v> </v>
      </c>
      <c r="AX36" s="287">
        <f>IF(ISERROR(AR36*100000000/'Calc-Units'!$C$21)," ",AR36*100000000/'Calc-Units'!$C$21)</f>
        <v>0</v>
      </c>
      <c r="AZ36" s="96"/>
      <c r="BA36" s="96"/>
    </row>
    <row r="37" spans="1:53" s="95" customFormat="1" ht="12.75">
      <c r="A37" s="113"/>
      <c r="B37" s="137"/>
      <c r="C37" s="113" t="s">
        <v>330</v>
      </c>
      <c r="D37" s="155">
        <f>'RRP 1.3'!AI$12</f>
        <v>0</v>
      </c>
      <c r="E37" s="155">
        <v>0</v>
      </c>
      <c r="F37" s="155">
        <v>0</v>
      </c>
      <c r="G37" s="155">
        <v>0</v>
      </c>
      <c r="H37" s="155">
        <v>0</v>
      </c>
      <c r="I37" s="155">
        <f t="shared" si="0"/>
        <v>0</v>
      </c>
      <c r="J37" s="146"/>
      <c r="K37" s="98"/>
      <c r="L37" s="155" t="s">
        <v>183</v>
      </c>
      <c r="M37" s="166" t="str">
        <f>IF(ISERROR(VLOOKUP($L37,'Calc-Drivers'!$B$17:$G$27,M$42,FALSE))," ",VLOOKUP($L37,'Calc-Drivers'!$B$17:$G$27,M$42,FALSE))</f>
        <v> </v>
      </c>
      <c r="N37" s="166" t="str">
        <f>IF(ISERROR(VLOOKUP($L37,'Calc-Drivers'!$B$17:$G$27,N$42,FALSE))," ",VLOOKUP($L37,'Calc-Drivers'!$B$17:$G$27,N$42,FALSE))</f>
        <v> </v>
      </c>
      <c r="O37" s="166" t="str">
        <f>IF(ISERROR(VLOOKUP($L37,'Calc-Drivers'!$B$17:$G$27,O$42,FALSE))," ",VLOOKUP($L37,'Calc-Drivers'!$B$17:$G$27,O$42,FALSE))</f>
        <v> </v>
      </c>
      <c r="P37" s="166" t="str">
        <f>IF(ISERROR(VLOOKUP($L37,'Calc-Drivers'!$B$17:$G$27,P$42,FALSE))," ",VLOOKUP($L37,'Calc-Drivers'!$B$17:$G$27,P$42,FALSE))</f>
        <v> </v>
      </c>
      <c r="Q37" s="166" t="str">
        <f>IF(ISERROR(VLOOKUP($L37,'Calc-Drivers'!$B$17:$G$27,Q$42,FALSE))," ",VLOOKUP($L37,'Calc-Drivers'!$B$17:$G$27,Q$42,FALSE))</f>
        <v> </v>
      </c>
      <c r="R37" s="100"/>
      <c r="S37" s="101" t="str">
        <f t="shared" si="1"/>
        <v> </v>
      </c>
      <c r="T37" s="101" t="str">
        <f t="shared" si="2"/>
        <v> </v>
      </c>
      <c r="U37" s="101" t="str">
        <f t="shared" si="3"/>
        <v> </v>
      </c>
      <c r="V37" s="172" t="str">
        <f t="shared" si="4"/>
        <v> </v>
      </c>
      <c r="W37" s="172" t="str">
        <f t="shared" si="4"/>
        <v> </v>
      </c>
      <c r="X37" s="96"/>
      <c r="Y37" s="101" t="str">
        <f t="shared" si="5"/>
        <v> </v>
      </c>
      <c r="Z37" s="101" t="str">
        <f t="shared" si="6"/>
        <v> </v>
      </c>
      <c r="AA37" s="101" t="str">
        <f t="shared" si="7"/>
        <v> </v>
      </c>
      <c r="AB37" s="172" t="str">
        <f t="shared" si="10"/>
        <v> </v>
      </c>
      <c r="AC37" s="172" t="str">
        <f t="shared" si="10"/>
        <v> </v>
      </c>
      <c r="AD37" s="102"/>
      <c r="AE37" s="103" t="str">
        <f>IF(ISERROR(Y37*100000000/'Calc-Units'!$E$21)," ",Y37*100000000/'Calc-Units'!$E$21)</f>
        <v> </v>
      </c>
      <c r="AF37" s="103" t="str">
        <f>IF(ISERROR(Z37*100000000/'Calc-Units'!$D$21)," ",Z37*100000000/'Calc-Units'!$D$21)</f>
        <v> </v>
      </c>
      <c r="AG37" s="103" t="str">
        <f>IF(ISERROR(AA37*100000000/'Calc-Units'!$C$21)," ",AA37*100000000/'Calc-Units'!$C$21)</f>
        <v> </v>
      </c>
      <c r="AH37" s="287" t="str">
        <f>IF(ISERROR(AB37*100000000/'Calc-Units'!$C$21)," ",AB37*100000000/'Calc-Units'!$C$21)</f>
        <v> </v>
      </c>
      <c r="AI37" s="104"/>
      <c r="AJ37" s="114">
        <v>0</v>
      </c>
      <c r="AK37" s="98">
        <f t="shared" si="8"/>
        <v>0</v>
      </c>
      <c r="AL37" s="99">
        <f t="shared" si="9"/>
        <v>0</v>
      </c>
      <c r="AM37" s="98"/>
      <c r="AN37" s="98"/>
      <c r="AO37" s="101" t="str">
        <f t="shared" si="11"/>
        <v> </v>
      </c>
      <c r="AP37" s="101" t="str">
        <f t="shared" si="12"/>
        <v> </v>
      </c>
      <c r="AQ37" s="101" t="str">
        <f t="shared" si="13"/>
        <v> </v>
      </c>
      <c r="AR37" s="172" t="str">
        <f t="shared" si="14"/>
        <v> </v>
      </c>
      <c r="AS37" s="172" t="str">
        <f t="shared" si="14"/>
        <v> </v>
      </c>
      <c r="AT37" s="104"/>
      <c r="AU37" s="103" t="str">
        <f>IF(ISERROR(AO37*100000000/'Calc-Units'!$E$21)," ",AO37*100000000/'Calc-Units'!$E$21)</f>
        <v> </v>
      </c>
      <c r="AV37" s="103" t="str">
        <f>IF(ISERROR(AP37*100000000/'Calc-Units'!$D$21)," ",AP37*100000000/'Calc-Units'!$D$21)</f>
        <v> </v>
      </c>
      <c r="AW37" s="103" t="str">
        <f>IF(ISERROR(AQ37*100000000/'Calc-Units'!$C$21)," ",AQ37*100000000/'Calc-Units'!$C$21)</f>
        <v> </v>
      </c>
      <c r="AX37" s="287" t="str">
        <f>IF(ISERROR(AR37*100000000/'Calc-Units'!$C$21)," ",AR37*100000000/'Calc-Units'!$C$21)</f>
        <v> </v>
      </c>
      <c r="AZ37" s="96"/>
      <c r="BA37" s="96"/>
    </row>
    <row r="38" spans="1:53" s="95" customFormat="1" ht="12.75">
      <c r="A38" s="113"/>
      <c r="B38" s="137"/>
      <c r="C38" s="116" t="s">
        <v>331</v>
      </c>
      <c r="D38" s="156">
        <f>'RRP 1.3'!AJ$12</f>
        <v>-2.9000000000000057</v>
      </c>
      <c r="E38" s="156">
        <v>0</v>
      </c>
      <c r="F38" s="156">
        <v>0</v>
      </c>
      <c r="G38" s="156">
        <v>0</v>
      </c>
      <c r="H38" s="156">
        <v>0</v>
      </c>
      <c r="I38" s="156">
        <f t="shared" si="0"/>
        <v>-2.9000000000000057</v>
      </c>
      <c r="J38" s="146"/>
      <c r="K38" s="98"/>
      <c r="L38" s="156" t="s">
        <v>183</v>
      </c>
      <c r="M38" s="284" t="str">
        <f>IF(ISERROR(VLOOKUP($L38,'Calc-Drivers'!$B$17:$G$27,M$42,FALSE))," ",VLOOKUP($L38,'Calc-Drivers'!$B$17:$G$27,M$42,FALSE))</f>
        <v> </v>
      </c>
      <c r="N38" s="284" t="str">
        <f>IF(ISERROR(VLOOKUP($L38,'Calc-Drivers'!$B$17:$G$27,N$42,FALSE))," ",VLOOKUP($L38,'Calc-Drivers'!$B$17:$G$27,N$42,FALSE))</f>
        <v> </v>
      </c>
      <c r="O38" s="284" t="str">
        <f>IF(ISERROR(VLOOKUP($L38,'Calc-Drivers'!$B$17:$G$27,O$42,FALSE))," ",VLOOKUP($L38,'Calc-Drivers'!$B$17:$G$27,O$42,FALSE))</f>
        <v> </v>
      </c>
      <c r="P38" s="284" t="str">
        <f>IF(ISERROR(VLOOKUP($L38,'Calc-Drivers'!$B$17:$G$27,P$42,FALSE))," ",VLOOKUP($L38,'Calc-Drivers'!$B$17:$G$27,P$42,FALSE))</f>
        <v> </v>
      </c>
      <c r="Q38" s="284" t="str">
        <f>IF(ISERROR(VLOOKUP($L38,'Calc-Drivers'!$B$17:$G$27,Q$42,FALSE))," ",VLOOKUP($L38,'Calc-Drivers'!$B$17:$G$27,Q$42,FALSE))</f>
        <v> </v>
      </c>
      <c r="R38" s="100"/>
      <c r="S38" s="176" t="str">
        <f t="shared" si="1"/>
        <v> </v>
      </c>
      <c r="T38" s="176" t="str">
        <f t="shared" si="2"/>
        <v> </v>
      </c>
      <c r="U38" s="176" t="str">
        <f t="shared" si="3"/>
        <v> </v>
      </c>
      <c r="V38" s="173" t="str">
        <f t="shared" si="4"/>
        <v> </v>
      </c>
      <c r="W38" s="173" t="str">
        <f t="shared" si="4"/>
        <v> </v>
      </c>
      <c r="X38" s="96"/>
      <c r="Y38" s="176" t="str">
        <f t="shared" si="5"/>
        <v> </v>
      </c>
      <c r="Z38" s="176" t="str">
        <f t="shared" si="6"/>
        <v> </v>
      </c>
      <c r="AA38" s="176" t="str">
        <f t="shared" si="7"/>
        <v> </v>
      </c>
      <c r="AB38" s="172" t="str">
        <f t="shared" si="10"/>
        <v> </v>
      </c>
      <c r="AC38" s="172" t="str">
        <f t="shared" si="10"/>
        <v> </v>
      </c>
      <c r="AD38" s="102"/>
      <c r="AE38" s="288" t="str">
        <f>IF(ISERROR(Y38*100000000/'Calc-Units'!$E$21)," ",Y38*100000000/'Calc-Units'!$E$21)</f>
        <v> </v>
      </c>
      <c r="AF38" s="288" t="str">
        <f>IF(ISERROR(Z38*100000000/'Calc-Units'!$D$21)," ",Z38*100000000/'Calc-Units'!$D$21)</f>
        <v> </v>
      </c>
      <c r="AG38" s="288" t="str">
        <f>IF(ISERROR(AA38*100000000/'Calc-Units'!$C$21)," ",AA38*100000000/'Calc-Units'!$C$21)</f>
        <v> </v>
      </c>
      <c r="AH38" s="289" t="str">
        <f>IF(ISERROR(AB38*100000000/'Calc-Units'!$C$21)," ",AB38*100000000/'Calc-Units'!$C$21)</f>
        <v> </v>
      </c>
      <c r="AI38" s="104"/>
      <c r="AJ38" s="114">
        <v>0</v>
      </c>
      <c r="AK38" s="98">
        <f t="shared" si="8"/>
        <v>0</v>
      </c>
      <c r="AL38" s="99">
        <f t="shared" si="9"/>
        <v>-2.9000000000000057</v>
      </c>
      <c r="AM38" s="98"/>
      <c r="AN38" s="98"/>
      <c r="AO38" s="176" t="str">
        <f t="shared" si="11"/>
        <v> </v>
      </c>
      <c r="AP38" s="176" t="str">
        <f t="shared" si="12"/>
        <v> </v>
      </c>
      <c r="AQ38" s="176" t="str">
        <f t="shared" si="13"/>
        <v> </v>
      </c>
      <c r="AR38" s="173" t="str">
        <f t="shared" si="14"/>
        <v> </v>
      </c>
      <c r="AS38" s="173" t="str">
        <f t="shared" si="14"/>
        <v> </v>
      </c>
      <c r="AT38" s="104"/>
      <c r="AU38" s="288" t="str">
        <f>IF(ISERROR(AO38*100000000/'Calc-Units'!$E$21)," ",AO38*100000000/'Calc-Units'!$E$21)</f>
        <v> </v>
      </c>
      <c r="AV38" s="288" t="str">
        <f>IF(ISERROR(AP38*100000000/'Calc-Units'!$D$21)," ",AP38*100000000/'Calc-Units'!$D$21)</f>
        <v> </v>
      </c>
      <c r="AW38" s="288" t="str">
        <f>IF(ISERROR(AQ38*100000000/'Calc-Units'!$C$21)," ",AQ38*100000000/'Calc-Units'!$C$21)</f>
        <v> </v>
      </c>
      <c r="AX38" s="289" t="str">
        <f>IF(ISERROR(AR38*100000000/'Calc-Units'!$C$21)," ",AR38*100000000/'Calc-Units'!$C$21)</f>
        <v> </v>
      </c>
      <c r="AZ38" s="96"/>
      <c r="BA38" s="96"/>
    </row>
    <row r="39" spans="1:53" s="95" customFormat="1" ht="25.5">
      <c r="A39" s="141"/>
      <c r="B39" s="329"/>
      <c r="C39" s="141" t="s">
        <v>343</v>
      </c>
      <c r="D39" s="157">
        <f>SUM(D6:D38)</f>
        <v>162.7</v>
      </c>
      <c r="E39" s="157">
        <f>SUM(E6:E38)</f>
        <v>16.729777089160976</v>
      </c>
      <c r="F39" s="157">
        <f>SUM(F6:F38)</f>
        <v>23.36306933637506</v>
      </c>
      <c r="G39" s="157">
        <f>SUM(G6:G38)</f>
        <v>6</v>
      </c>
      <c r="H39" s="157">
        <f>SUM(H6:H38)</f>
        <v>2.96551811705667</v>
      </c>
      <c r="I39" s="157">
        <f t="shared" si="0"/>
        <v>113.64163545740729</v>
      </c>
      <c r="J39" s="146"/>
      <c r="K39" s="102"/>
      <c r="L39" s="197"/>
      <c r="M39" s="197"/>
      <c r="N39" s="197"/>
      <c r="O39" s="197"/>
      <c r="P39" s="197"/>
      <c r="Q39" s="178"/>
      <c r="R39" s="180" t="s">
        <v>810</v>
      </c>
      <c r="S39" s="158">
        <f>SUM(S6:S38)</f>
        <v>7.643116528659783</v>
      </c>
      <c r="T39" s="158">
        <f>SUM(T6:T38)</f>
        <v>9.639443231990295</v>
      </c>
      <c r="U39" s="158">
        <f>SUM(U6:U38)</f>
        <v>2.3591840690974473</v>
      </c>
      <c r="V39" s="158">
        <f>SUM(V6:V38)</f>
        <v>9.433769456824152</v>
      </c>
      <c r="W39" s="178"/>
      <c r="X39" s="184" t="s">
        <v>363</v>
      </c>
      <c r="Y39" s="1450">
        <f>SUM(Y40:AC40)</f>
        <v>83.7</v>
      </c>
      <c r="Z39" s="1450"/>
      <c r="AA39" s="1450"/>
      <c r="AB39" s="1450"/>
      <c r="AC39" s="102"/>
      <c r="AD39" s="184" t="s">
        <v>363</v>
      </c>
      <c r="AE39" s="1446">
        <f>SUM(AE40:AH40)</f>
        <v>0.8120033098728637</v>
      </c>
      <c r="AF39" s="1446"/>
      <c r="AG39" s="1446"/>
      <c r="AH39" s="1446"/>
      <c r="AI39" s="104"/>
      <c r="AJ39" s="158" t="s">
        <v>810</v>
      </c>
      <c r="AK39" s="158">
        <f>SUM(AK6:AK38)</f>
        <v>65.41872999999998</v>
      </c>
      <c r="AL39" s="198">
        <f>SUM(AL6:AL38)</f>
        <v>97.28126999999999</v>
      </c>
      <c r="AM39" s="200"/>
      <c r="AN39" s="199" t="s">
        <v>363</v>
      </c>
      <c r="AO39" s="1446">
        <f>SUM(AO40:AS40)</f>
        <v>30.691800000000004</v>
      </c>
      <c r="AP39" s="1446"/>
      <c r="AQ39" s="1446"/>
      <c r="AR39" s="1446"/>
      <c r="AS39" s="203"/>
      <c r="AT39" s="184" t="s">
        <v>363</v>
      </c>
      <c r="AU39" s="1446">
        <f>SUM(AU40:AX40)</f>
        <v>0.2913053838722744</v>
      </c>
      <c r="AV39" s="1446"/>
      <c r="AW39" s="1446"/>
      <c r="AX39" s="1446"/>
      <c r="AZ39" s="96"/>
      <c r="BA39" s="96"/>
    </row>
    <row r="40" spans="1:53" s="95" customFormat="1" ht="12.75">
      <c r="A40" s="135"/>
      <c r="B40" s="330"/>
      <c r="C40" s="177"/>
      <c r="D40" s="178"/>
      <c r="E40" s="178"/>
      <c r="F40" s="178"/>
      <c r="G40" s="178"/>
      <c r="H40" s="178"/>
      <c r="I40" s="178"/>
      <c r="J40" s="146"/>
      <c r="K40" s="102"/>
      <c r="L40" s="98"/>
      <c r="M40" s="98"/>
      <c r="N40" s="98"/>
      <c r="O40" s="98"/>
      <c r="P40" s="98"/>
      <c r="Q40" s="98"/>
      <c r="R40" s="181"/>
      <c r="S40" s="182"/>
      <c r="T40" s="182"/>
      <c r="U40" s="182"/>
      <c r="V40" s="182"/>
      <c r="W40" s="102"/>
      <c r="X40" s="184" t="s">
        <v>364</v>
      </c>
      <c r="Y40" s="185">
        <f>SUM(Y6:Y38)</f>
        <v>24.37289361782075</v>
      </c>
      <c r="Z40" s="185">
        <f>SUM(Z6:Z38)</f>
        <v>33.00251256836536</v>
      </c>
      <c r="AA40" s="185">
        <f>SUM(AA6:AA38)</f>
        <v>8.359184069097447</v>
      </c>
      <c r="AB40" s="185">
        <f>SUM(AB6:AB38)</f>
        <v>11.298850547460844</v>
      </c>
      <c r="AC40" s="185">
        <f>SUM(AC6:AC38)</f>
        <v>6.666559197255596</v>
      </c>
      <c r="AD40" s="184" t="s">
        <v>364</v>
      </c>
      <c r="AE40" s="195">
        <f>SUM(AE6:AE38)</f>
        <v>0.19629182058293787</v>
      </c>
      <c r="AF40" s="195">
        <f>SUM(AF6:AF38)</f>
        <v>0.34329632355028217</v>
      </c>
      <c r="AG40" s="195">
        <f>SUM(AG6:AG38)</f>
        <v>0.11583907333814912</v>
      </c>
      <c r="AH40" s="195">
        <f>SUM(AH6:AH38)</f>
        <v>0.1565760924014946</v>
      </c>
      <c r="AI40" s="104"/>
      <c r="AJ40" s="197"/>
      <c r="AK40" s="197"/>
      <c r="AL40" s="197"/>
      <c r="AM40" s="178"/>
      <c r="AN40" s="184" t="s">
        <v>364</v>
      </c>
      <c r="AO40" s="195">
        <f>SUM(AO6:AO38)</f>
        <v>6.54209929098984</v>
      </c>
      <c r="AP40" s="195">
        <f>SUM(AP6:AP38)</f>
        <v>8.871523382847686</v>
      </c>
      <c r="AQ40" s="195">
        <f>SUM(AQ6:AQ38)</f>
        <v>2.5628461239557625</v>
      </c>
      <c r="AR40" s="202">
        <f>SUM(AR6:AR38)</f>
        <v>7.996957985188828</v>
      </c>
      <c r="AS40" s="202">
        <f>SUM(AS6:AS38)</f>
        <v>4.718373217017889</v>
      </c>
      <c r="AT40" s="184" t="s">
        <v>364</v>
      </c>
      <c r="AU40" s="195">
        <f>SUM(AU6:AU38)</f>
        <v>0.05268806405997691</v>
      </c>
      <c r="AV40" s="195">
        <f>SUM(AV6:AV38)</f>
        <v>0.09228271196967305</v>
      </c>
      <c r="AW40" s="195">
        <f>SUM(AW6:AW38)</f>
        <v>0.03551515526554939</v>
      </c>
      <c r="AX40" s="195">
        <f>SUM(AX6:AX38)</f>
        <v>0.11081945257707505</v>
      </c>
      <c r="AZ40" s="96"/>
      <c r="BA40" s="96"/>
    </row>
    <row r="41" spans="1:53" s="95" customFormat="1" ht="12.75">
      <c r="A41" s="135"/>
      <c r="B41" s="177"/>
      <c r="C41" s="177"/>
      <c r="D41" s="178"/>
      <c r="E41" s="178"/>
      <c r="F41" s="178"/>
      <c r="G41" s="178"/>
      <c r="H41" s="178"/>
      <c r="I41" s="178"/>
      <c r="J41" s="146"/>
      <c r="K41" s="102"/>
      <c r="L41" s="98"/>
      <c r="M41" s="183"/>
      <c r="N41" s="98"/>
      <c r="O41" s="98"/>
      <c r="P41" s="98"/>
      <c r="Q41" s="98"/>
      <c r="R41" s="100"/>
      <c r="S41" s="102"/>
      <c r="T41" s="102"/>
      <c r="U41" s="102"/>
      <c r="V41" s="102"/>
      <c r="W41" s="102"/>
      <c r="X41" s="184" t="s">
        <v>365</v>
      </c>
      <c r="Y41" s="179">
        <f>Y40/$Y$39</f>
        <v>0.29119347213644864</v>
      </c>
      <c r="Z41" s="179">
        <f>Z40/$Y$39</f>
        <v>0.3942952517128478</v>
      </c>
      <c r="AA41" s="179">
        <f>AA40/$Y$39</f>
        <v>0.09987077740857164</v>
      </c>
      <c r="AB41" s="179">
        <f>AB40/$Y$39</f>
        <v>0.13499224071040436</v>
      </c>
      <c r="AC41" s="179">
        <f>AC40/$Y$39</f>
        <v>0.07964825803172755</v>
      </c>
      <c r="AD41" s="184" t="s">
        <v>365</v>
      </c>
      <c r="AE41" s="179">
        <f>AE40/$AE$39</f>
        <v>0.24173770992838872</v>
      </c>
      <c r="AF41" s="179">
        <f>AF40/$AE$39</f>
        <v>0.42277700026128273</v>
      </c>
      <c r="AG41" s="179">
        <f>AG40/$AE$39</f>
        <v>0.14265837580918997</v>
      </c>
      <c r="AH41" s="179">
        <f>AH40/$AE$39</f>
        <v>0.1928269140011386</v>
      </c>
      <c r="AI41" s="104"/>
      <c r="AJ41" s="178"/>
      <c r="AK41" s="178"/>
      <c r="AL41" s="178"/>
      <c r="AM41" s="178"/>
      <c r="AN41" s="184" t="s">
        <v>365</v>
      </c>
      <c r="AO41" s="357">
        <f>AO40/$AO$39</f>
        <v>0.213154630585037</v>
      </c>
      <c r="AP41" s="357">
        <f>AP40/$AO$39</f>
        <v>0.28905190907172873</v>
      </c>
      <c r="AQ41" s="357">
        <f>AQ40/$AO$39</f>
        <v>0.08350263340552729</v>
      </c>
      <c r="AR41" s="358">
        <f>AR40/$AO$39</f>
        <v>0.26055682577068884</v>
      </c>
      <c r="AS41" s="358">
        <f>AS40/$AO$39</f>
        <v>0.15373400116701816</v>
      </c>
      <c r="AT41" s="184" t="s">
        <v>365</v>
      </c>
      <c r="AU41" s="179">
        <f>AU40/$AU$39</f>
        <v>0.1808688303649015</v>
      </c>
      <c r="AV41" s="179">
        <f>AV40/$AU$39</f>
        <v>0.31679027261004994</v>
      </c>
      <c r="AW41" s="179">
        <f>AW40/$AU$39</f>
        <v>0.12191726357217395</v>
      </c>
      <c r="AX41" s="179">
        <f>AX40/$AU$39</f>
        <v>0.38042363345287467</v>
      </c>
      <c r="AZ41" s="96"/>
      <c r="BA41" s="96"/>
    </row>
    <row r="42" spans="1:50" s="117" customFormat="1" ht="12.75">
      <c r="A42" s="1435"/>
      <c r="B42" s="1435"/>
      <c r="C42" s="119"/>
      <c r="D42" s="118"/>
      <c r="I42" s="122"/>
      <c r="J42" s="147"/>
      <c r="K42" s="121"/>
      <c r="L42" s="162"/>
      <c r="M42" s="162">
        <v>6</v>
      </c>
      <c r="N42" s="162">
        <v>5</v>
      </c>
      <c r="O42" s="162">
        <v>4</v>
      </c>
      <c r="P42" s="162">
        <v>3</v>
      </c>
      <c r="Q42" s="162">
        <v>2</v>
      </c>
      <c r="R42" s="123"/>
      <c r="S42" s="122"/>
      <c r="T42" s="122"/>
      <c r="U42" s="122"/>
      <c r="V42" s="122"/>
      <c r="W42" s="122"/>
      <c r="X42" s="315"/>
      <c r="Y42" s="316"/>
      <c r="Z42" s="317"/>
      <c r="AA42" s="317"/>
      <c r="AB42" s="317"/>
      <c r="AC42" s="122"/>
      <c r="AD42" s="122"/>
      <c r="AE42" s="124"/>
      <c r="AF42" s="124"/>
      <c r="AG42" s="124"/>
      <c r="AH42" s="124"/>
      <c r="AI42" s="124"/>
      <c r="AJ42" s="120"/>
      <c r="AK42" s="121"/>
      <c r="AL42" s="121"/>
      <c r="AM42" s="121"/>
      <c r="AN42" s="121"/>
      <c r="AO42" s="122" t="s">
        <v>238</v>
      </c>
      <c r="AP42" s="122"/>
      <c r="AQ42" s="122"/>
      <c r="AR42" s="122"/>
      <c r="AS42" s="122"/>
      <c r="AT42" s="124"/>
      <c r="AU42" s="124"/>
      <c r="AV42" s="124"/>
      <c r="AW42" s="124"/>
      <c r="AX42" s="124"/>
    </row>
    <row r="43" spans="1:50" s="117" customFormat="1" ht="12.75">
      <c r="A43" s="1435"/>
      <c r="B43" s="1435"/>
      <c r="C43" s="119"/>
      <c r="D43" s="125"/>
      <c r="I43" s="122"/>
      <c r="J43" s="147"/>
      <c r="K43" s="121"/>
      <c r="M43" s="123"/>
      <c r="N43" s="123"/>
      <c r="O43" s="123"/>
      <c r="P43" s="123"/>
      <c r="Q43" s="123"/>
      <c r="R43" s="123"/>
      <c r="S43" s="122"/>
      <c r="T43" s="122"/>
      <c r="U43" s="122"/>
      <c r="V43" s="122"/>
      <c r="W43" s="122"/>
      <c r="X43" s="318"/>
      <c r="Y43" s="319"/>
      <c r="Z43" s="320"/>
      <c r="AA43" s="320"/>
      <c r="AB43" s="320"/>
      <c r="AC43" s="122"/>
      <c r="AD43" s="122"/>
      <c r="AE43" s="124"/>
      <c r="AF43" s="124"/>
      <c r="AG43" s="124"/>
      <c r="AH43" s="124"/>
      <c r="AI43" s="124"/>
      <c r="AJ43" s="120"/>
      <c r="AK43" s="121"/>
      <c r="AL43" s="121"/>
      <c r="AM43" s="121"/>
      <c r="AN43" s="121"/>
      <c r="AO43" s="122"/>
      <c r="AP43" s="122"/>
      <c r="AQ43" s="122"/>
      <c r="AR43" s="122"/>
      <c r="AS43" s="122"/>
      <c r="AT43" s="124"/>
      <c r="AU43" s="124"/>
      <c r="AV43" s="124"/>
      <c r="AW43" s="124"/>
      <c r="AX43" s="124"/>
    </row>
    <row r="44" spans="1:50" s="117" customFormat="1" ht="12.75">
      <c r="A44" s="1435"/>
      <c r="B44" s="1435"/>
      <c r="C44" s="119"/>
      <c r="D44" s="118"/>
      <c r="I44" s="122"/>
      <c r="J44" s="147"/>
      <c r="K44" s="121"/>
      <c r="M44" s="123"/>
      <c r="N44" s="123"/>
      <c r="O44" s="123"/>
      <c r="P44" s="123"/>
      <c r="Q44" s="123"/>
      <c r="R44" s="123"/>
      <c r="S44" s="122"/>
      <c r="T44" s="122"/>
      <c r="U44" s="122"/>
      <c r="V44" s="122"/>
      <c r="W44" s="122"/>
      <c r="X44" s="373" t="s">
        <v>480</v>
      </c>
      <c r="Y44" s="373"/>
      <c r="Z44" s="373"/>
      <c r="AA44" s="373"/>
      <c r="AB44" s="373"/>
      <c r="AC44" s="374"/>
      <c r="AD44" s="122"/>
      <c r="AE44" s="124"/>
      <c r="AF44" s="124"/>
      <c r="AG44" s="124"/>
      <c r="AH44" s="124"/>
      <c r="AI44" s="124"/>
      <c r="AJ44" s="120"/>
      <c r="AK44" s="121"/>
      <c r="AL44" s="121"/>
      <c r="AM44" s="121"/>
      <c r="AN44" s="121"/>
      <c r="AO44" s="122"/>
      <c r="AP44" s="122"/>
      <c r="AQ44" s="122"/>
      <c r="AR44" s="122"/>
      <c r="AS44" s="122"/>
      <c r="AT44" s="124"/>
      <c r="AU44" s="124"/>
      <c r="AV44" s="124"/>
      <c r="AW44" s="124"/>
      <c r="AX44" s="124"/>
    </row>
    <row r="45" spans="1:50" s="117" customFormat="1" ht="12.75">
      <c r="A45" s="1435"/>
      <c r="B45" s="1435"/>
      <c r="C45" s="119"/>
      <c r="D45" s="118"/>
      <c r="I45" s="122"/>
      <c r="J45" s="147"/>
      <c r="K45" s="121"/>
      <c r="M45" s="123"/>
      <c r="N45" s="123"/>
      <c r="O45" s="123"/>
      <c r="P45" s="123"/>
      <c r="Q45" s="123"/>
      <c r="R45" s="123"/>
      <c r="S45" s="122"/>
      <c r="T45" s="122"/>
      <c r="U45" s="122"/>
      <c r="V45" s="122"/>
      <c r="W45" s="122"/>
      <c r="X45" s="373"/>
      <c r="Y45" s="373"/>
      <c r="Z45" s="373"/>
      <c r="AA45" s="373"/>
      <c r="AB45" s="373"/>
      <c r="AC45" s="374"/>
      <c r="AD45" s="122"/>
      <c r="AE45" s="124"/>
      <c r="AF45" s="124"/>
      <c r="AG45" s="124"/>
      <c r="AH45" s="124"/>
      <c r="AI45" s="124"/>
      <c r="AJ45" s="120"/>
      <c r="AK45" s="121"/>
      <c r="AL45" s="121"/>
      <c r="AM45" s="121"/>
      <c r="AN45" s="121"/>
      <c r="AO45" s="122"/>
      <c r="AP45" s="122"/>
      <c r="AQ45" s="122"/>
      <c r="AR45" s="122"/>
      <c r="AS45" s="122"/>
      <c r="AT45" s="124"/>
      <c r="AU45" s="124"/>
      <c r="AV45" s="124"/>
      <c r="AW45" s="124"/>
      <c r="AX45" s="124"/>
    </row>
    <row r="46" spans="1:50" s="117" customFormat="1" ht="12.75">
      <c r="A46" s="1435"/>
      <c r="B46" s="1435"/>
      <c r="C46" s="119"/>
      <c r="D46" s="118"/>
      <c r="I46" s="122"/>
      <c r="J46" s="147"/>
      <c r="K46" s="121"/>
      <c r="M46" s="123"/>
      <c r="N46" s="123"/>
      <c r="O46" s="123"/>
      <c r="P46" s="123"/>
      <c r="Q46" s="123"/>
      <c r="R46" s="123"/>
      <c r="S46" s="122"/>
      <c r="T46" s="122"/>
      <c r="U46" s="122"/>
      <c r="V46" s="122"/>
      <c r="W46" s="122"/>
      <c r="X46" s="315" t="s">
        <v>203</v>
      </c>
      <c r="Y46" s="316">
        <f>SUMIF(Y6:Y11,"&gt;0",Y6:Y11)+SUMIF(Y27:Y38,"&gt;0",Y27:Y38)</f>
        <v>17.533245048694383</v>
      </c>
      <c r="Z46" s="316">
        <f>SUMIF(Z6:Z11,"&gt;0",Z6:Z11)+SUMIF(Z27:Z38,"&gt;0",Z27:Z38)</f>
        <v>24.376397310062703</v>
      </c>
      <c r="AA46" s="316">
        <f>SUMIF(AA6:AA11,"&gt;0",AA6:AA11)+SUMIF(AA27:AA38,"&gt;0",AA27:AA38)</f>
        <v>6.251979473266875</v>
      </c>
      <c r="AB46" s="316">
        <f>SUMIF(AB6:AB11,"&gt;0",AB6:AB11)+SUMIF(AB27:AB38,"&gt;0",AB27:AB38)</f>
        <v>8.517090572131828</v>
      </c>
      <c r="AC46" s="316">
        <f>SUMIF(AC6:AC11,"&gt;0",AC6:AC11)+SUMIF(AC27:AC38,"&gt;0",AC27:AC38)</f>
        <v>5.025262370627983</v>
      </c>
      <c r="AD46" s="373" t="s">
        <v>481</v>
      </c>
      <c r="AE46" s="124"/>
      <c r="AF46" s="124"/>
      <c r="AG46" s="124"/>
      <c r="AH46" s="124"/>
      <c r="AI46" s="124"/>
      <c r="AJ46" s="120"/>
      <c r="AK46" s="121"/>
      <c r="AL46" s="121"/>
      <c r="AM46" s="121"/>
      <c r="AN46" s="121"/>
      <c r="AO46" s="122"/>
      <c r="AP46" s="122"/>
      <c r="AQ46" s="122"/>
      <c r="AR46" s="122"/>
      <c r="AS46" s="122"/>
      <c r="AT46" s="124"/>
      <c r="AU46" s="124"/>
      <c r="AV46" s="124"/>
      <c r="AW46" s="124"/>
      <c r="AX46" s="124"/>
    </row>
    <row r="47" spans="1:50" s="117" customFormat="1" ht="12.75">
      <c r="A47" s="1435"/>
      <c r="B47" s="1435"/>
      <c r="C47" s="119"/>
      <c r="D47" s="118"/>
      <c r="E47" s="122"/>
      <c r="F47" s="122"/>
      <c r="G47" s="122"/>
      <c r="H47" s="122"/>
      <c r="I47" s="122"/>
      <c r="J47" s="147"/>
      <c r="K47" s="121"/>
      <c r="M47" s="123"/>
      <c r="N47" s="123"/>
      <c r="O47" s="123"/>
      <c r="P47" s="123"/>
      <c r="Q47" s="123"/>
      <c r="R47" s="123"/>
      <c r="S47" s="122"/>
      <c r="T47" s="122"/>
      <c r="U47" s="122"/>
      <c r="V47" s="122"/>
      <c r="W47" s="122"/>
      <c r="X47" s="318" t="s">
        <v>36</v>
      </c>
      <c r="Y47" s="319">
        <f>SUMIF(Y12:Y27,"&gt;0",Y12:Y27)</f>
        <v>6.839648569126374</v>
      </c>
      <c r="Z47" s="319">
        <f>SUMIF(Z12:Z27,"&gt;0",Z12:Z27)</f>
        <v>8.62611525830265</v>
      </c>
      <c r="AA47" s="319">
        <f>SUMIF(AA12:AA27,"&gt;0",AA12:AA27)</f>
        <v>2.1111793706143493</v>
      </c>
      <c r="AB47" s="319">
        <f>SUMIF(AB12:AB27,"&gt;0",AB12:AB27)</f>
        <v>8.442062544105893</v>
      </c>
      <c r="AC47" s="319">
        <f>SUMIF(AC12:AC27,"&gt;0",AC12:AC27)</f>
        <v>4.980994257850737</v>
      </c>
      <c r="AD47" s="373" t="s">
        <v>481</v>
      </c>
      <c r="AE47" s="124"/>
      <c r="AF47" s="124"/>
      <c r="AG47" s="124"/>
      <c r="AH47" s="124"/>
      <c r="AI47" s="124"/>
      <c r="AJ47" s="120"/>
      <c r="AK47" s="121"/>
      <c r="AL47" s="121"/>
      <c r="AM47" s="121"/>
      <c r="AN47" s="121"/>
      <c r="AO47" s="122"/>
      <c r="AP47" s="122"/>
      <c r="AQ47" s="122"/>
      <c r="AR47" s="122"/>
      <c r="AS47" s="122"/>
      <c r="AT47" s="124"/>
      <c r="AU47" s="124"/>
      <c r="AV47" s="124"/>
      <c r="AW47" s="124"/>
      <c r="AX47" s="124"/>
    </row>
    <row r="48" spans="1:50" s="117" customFormat="1" ht="12.75">
      <c r="A48" s="1435"/>
      <c r="B48" s="1435"/>
      <c r="C48" s="119"/>
      <c r="D48" s="118"/>
      <c r="I48" s="122"/>
      <c r="J48" s="148"/>
      <c r="K48" s="121"/>
      <c r="M48" s="123"/>
      <c r="N48" s="123"/>
      <c r="O48" s="123"/>
      <c r="P48" s="123"/>
      <c r="Q48" s="123"/>
      <c r="R48" s="123"/>
      <c r="S48" s="122"/>
      <c r="T48" s="122"/>
      <c r="U48" s="122"/>
      <c r="V48" s="122"/>
      <c r="W48" s="122"/>
      <c r="X48" s="318" t="s">
        <v>482</v>
      </c>
      <c r="Y48" s="321">
        <f>Y46/(Y47+Y46)</f>
        <v>0.7193747826427379</v>
      </c>
      <c r="Z48" s="322">
        <f>Z46/(Z47+Z46)</f>
        <v>0.738622468806474</v>
      </c>
      <c r="AA48" s="322">
        <f>AA46/(AA47+AA46)</f>
        <v>0.7475619667132161</v>
      </c>
      <c r="AB48" s="375">
        <f>AB46/(AB47+AB46)</f>
        <v>0.5022120216590915</v>
      </c>
      <c r="AC48" s="375">
        <f>AC46/(AC47+AC46)</f>
        <v>0.5022120216590915</v>
      </c>
      <c r="AD48" s="122"/>
      <c r="AE48" s="124"/>
      <c r="AF48" s="124"/>
      <c r="AG48" s="124"/>
      <c r="AH48" s="124"/>
      <c r="AI48" s="124"/>
      <c r="AJ48" s="120"/>
      <c r="AK48" s="121"/>
      <c r="AL48" s="121"/>
      <c r="AM48" s="121"/>
      <c r="AN48" s="121"/>
      <c r="AO48" s="122"/>
      <c r="AP48" s="122"/>
      <c r="AQ48" s="122"/>
      <c r="AR48" s="122"/>
      <c r="AS48" s="122"/>
      <c r="AT48" s="124"/>
      <c r="AU48" s="124"/>
      <c r="AV48" s="124"/>
      <c r="AW48" s="124"/>
      <c r="AX48" s="124"/>
    </row>
    <row r="49" spans="1:50" s="117" customFormat="1" ht="12.75">
      <c r="A49" s="1435"/>
      <c r="B49" s="1435"/>
      <c r="C49" s="119"/>
      <c r="D49" s="118"/>
      <c r="I49" s="122"/>
      <c r="J49" s="148"/>
      <c r="K49" s="121"/>
      <c r="M49" s="123"/>
      <c r="N49" s="123"/>
      <c r="O49" s="123"/>
      <c r="P49" s="123"/>
      <c r="Q49" s="123"/>
      <c r="R49" s="123"/>
      <c r="S49" s="122"/>
      <c r="T49" s="122"/>
      <c r="U49" s="122"/>
      <c r="V49" s="122"/>
      <c r="W49" s="122"/>
      <c r="X49" s="323" t="s">
        <v>37</v>
      </c>
      <c r="Y49" s="324">
        <f>Y47/(Y46+Y47)</f>
        <v>0.280625217357262</v>
      </c>
      <c r="Z49" s="325">
        <f>Z47/(Z46+Z47)</f>
        <v>0.261377531193526</v>
      </c>
      <c r="AA49" s="325">
        <f>AA47/(AA46+AA47)</f>
        <v>0.2524380332867838</v>
      </c>
      <c r="AB49" s="325">
        <f>AB47/(AB46+AB47)</f>
        <v>0.49778797834090843</v>
      </c>
      <c r="AC49" s="325">
        <f>AC47/(AC46+AC47)</f>
        <v>0.4977879783409085</v>
      </c>
      <c r="AD49" s="122"/>
      <c r="AE49" s="124"/>
      <c r="AF49" s="124"/>
      <c r="AG49" s="124"/>
      <c r="AH49" s="124"/>
      <c r="AI49" s="124"/>
      <c r="AJ49" s="120"/>
      <c r="AK49" s="121"/>
      <c r="AL49" s="121"/>
      <c r="AM49" s="121"/>
      <c r="AN49" s="121"/>
      <c r="AO49" s="122"/>
      <c r="AP49" s="122"/>
      <c r="AQ49" s="122"/>
      <c r="AR49" s="122"/>
      <c r="AS49" s="122"/>
      <c r="AT49" s="124"/>
      <c r="AU49" s="124"/>
      <c r="AV49" s="124"/>
      <c r="AW49" s="124"/>
      <c r="AX49" s="124"/>
    </row>
    <row r="50" spans="1:50" s="117" customFormat="1" ht="12.75">
      <c r="A50" s="1435"/>
      <c r="B50" s="1435"/>
      <c r="C50" s="119"/>
      <c r="D50" s="118"/>
      <c r="I50" s="122"/>
      <c r="J50" s="148"/>
      <c r="K50" s="121"/>
      <c r="M50" s="123"/>
      <c r="N50" s="123"/>
      <c r="O50" s="123"/>
      <c r="P50" s="123"/>
      <c r="Q50" s="123"/>
      <c r="R50" s="123"/>
      <c r="S50" s="122"/>
      <c r="T50" s="122"/>
      <c r="U50" s="122"/>
      <c r="V50" s="122"/>
      <c r="W50" s="122"/>
      <c r="X50" s="373"/>
      <c r="Y50" s="374"/>
      <c r="Z50" s="374"/>
      <c r="AA50" s="374"/>
      <c r="AB50" s="374"/>
      <c r="AC50" s="374"/>
      <c r="AD50" s="122"/>
      <c r="AE50" s="124"/>
      <c r="AF50" s="124"/>
      <c r="AG50" s="124"/>
      <c r="AH50" s="124"/>
      <c r="AI50" s="124"/>
      <c r="AJ50" s="120"/>
      <c r="AK50" s="121"/>
      <c r="AL50" s="121"/>
      <c r="AM50" s="121"/>
      <c r="AN50" s="121"/>
      <c r="AO50" s="122"/>
      <c r="AP50" s="122"/>
      <c r="AQ50" s="122"/>
      <c r="AR50" s="122"/>
      <c r="AS50" s="122"/>
      <c r="AT50" s="124"/>
      <c r="AU50" s="124"/>
      <c r="AV50" s="124"/>
      <c r="AW50" s="124"/>
      <c r="AX50" s="124"/>
    </row>
    <row r="51" spans="1:50" s="117" customFormat="1" ht="12.75">
      <c r="A51" s="1435"/>
      <c r="B51" s="1435"/>
      <c r="C51" s="119"/>
      <c r="D51" s="118"/>
      <c r="I51" s="122"/>
      <c r="J51" s="148"/>
      <c r="K51" s="121"/>
      <c r="M51" s="123"/>
      <c r="N51" s="123"/>
      <c r="O51" s="123"/>
      <c r="P51" s="123"/>
      <c r="Q51" s="123"/>
      <c r="R51" s="123"/>
      <c r="S51" s="122"/>
      <c r="T51" s="122"/>
      <c r="U51" s="122"/>
      <c r="V51" s="122"/>
      <c r="W51" s="122"/>
      <c r="Y51" s="122"/>
      <c r="Z51" s="122"/>
      <c r="AA51" s="122"/>
      <c r="AB51" s="122"/>
      <c r="AC51" s="122"/>
      <c r="AD51" s="122"/>
      <c r="AE51" s="124"/>
      <c r="AF51" s="124"/>
      <c r="AG51" s="124"/>
      <c r="AH51" s="124"/>
      <c r="AI51" s="124"/>
      <c r="AJ51" s="120"/>
      <c r="AK51" s="121"/>
      <c r="AL51" s="121"/>
      <c r="AM51" s="121"/>
      <c r="AN51" s="121"/>
      <c r="AO51" s="122"/>
      <c r="AP51" s="122"/>
      <c r="AQ51" s="122"/>
      <c r="AR51" s="122"/>
      <c r="AS51" s="122"/>
      <c r="AT51" s="124"/>
      <c r="AU51" s="124"/>
      <c r="AV51" s="124"/>
      <c r="AW51" s="124"/>
      <c r="AX51" s="124"/>
    </row>
    <row r="52" spans="1:50" s="117" customFormat="1" ht="12.75">
      <c r="A52" s="1435"/>
      <c r="B52" s="1435"/>
      <c r="C52" s="119"/>
      <c r="D52" s="118"/>
      <c r="I52" s="122"/>
      <c r="J52" s="148"/>
      <c r="K52" s="121"/>
      <c r="M52" s="123"/>
      <c r="N52" s="123"/>
      <c r="O52" s="123"/>
      <c r="P52" s="123"/>
      <c r="Q52" s="123"/>
      <c r="R52" s="123"/>
      <c r="S52" s="122"/>
      <c r="T52" s="122"/>
      <c r="U52" s="122"/>
      <c r="V52" s="122"/>
      <c r="W52" s="122"/>
      <c r="Y52" s="122"/>
      <c r="Z52" s="122"/>
      <c r="AA52" s="122"/>
      <c r="AB52" s="122"/>
      <c r="AC52" s="122"/>
      <c r="AD52" s="122"/>
      <c r="AE52" s="124"/>
      <c r="AF52" s="124"/>
      <c r="AG52" s="124"/>
      <c r="AH52" s="124"/>
      <c r="AI52" s="124"/>
      <c r="AJ52" s="120"/>
      <c r="AK52" s="121"/>
      <c r="AL52" s="121"/>
      <c r="AM52" s="121"/>
      <c r="AN52" s="121"/>
      <c r="AO52" s="122"/>
      <c r="AP52" s="122"/>
      <c r="AQ52" s="122"/>
      <c r="AR52" s="122"/>
      <c r="AS52" s="122"/>
      <c r="AT52" s="124"/>
      <c r="AU52" s="124"/>
      <c r="AV52" s="124"/>
      <c r="AW52" s="124"/>
      <c r="AX52" s="124"/>
    </row>
    <row r="53" spans="1:50" s="117" customFormat="1" ht="12.75">
      <c r="A53" s="1435"/>
      <c r="B53" s="1435"/>
      <c r="C53" s="119"/>
      <c r="D53" s="118"/>
      <c r="I53" s="122"/>
      <c r="J53" s="148"/>
      <c r="K53" s="121"/>
      <c r="M53" s="123"/>
      <c r="N53" s="123"/>
      <c r="O53" s="123"/>
      <c r="P53" s="123"/>
      <c r="Q53" s="123"/>
      <c r="R53" s="123"/>
      <c r="S53" s="122"/>
      <c r="T53" s="122"/>
      <c r="U53" s="122"/>
      <c r="V53" s="122"/>
      <c r="W53" s="122"/>
      <c r="Y53" s="122"/>
      <c r="Z53" s="122"/>
      <c r="AA53" s="122"/>
      <c r="AB53" s="122"/>
      <c r="AC53" s="122"/>
      <c r="AD53" s="122"/>
      <c r="AE53" s="124"/>
      <c r="AF53" s="124"/>
      <c r="AG53" s="124"/>
      <c r="AH53" s="124"/>
      <c r="AI53" s="124"/>
      <c r="AJ53" s="120"/>
      <c r="AK53" s="121"/>
      <c r="AL53" s="121"/>
      <c r="AM53" s="121"/>
      <c r="AN53" s="121"/>
      <c r="AO53" s="122"/>
      <c r="AP53" s="122"/>
      <c r="AQ53" s="122"/>
      <c r="AR53" s="122"/>
      <c r="AS53" s="122"/>
      <c r="AT53" s="124"/>
      <c r="AU53" s="124"/>
      <c r="AV53" s="124"/>
      <c r="AW53" s="124"/>
      <c r="AX53" s="124"/>
    </row>
    <row r="54" spans="1:50" s="117" customFormat="1" ht="12.75">
      <c r="A54" s="1435"/>
      <c r="B54" s="1435"/>
      <c r="C54" s="119"/>
      <c r="D54" s="118"/>
      <c r="I54" s="122"/>
      <c r="J54" s="148"/>
      <c r="K54" s="121"/>
      <c r="M54" s="123"/>
      <c r="N54" s="123"/>
      <c r="O54" s="123"/>
      <c r="P54" s="123"/>
      <c r="Q54" s="123"/>
      <c r="R54" s="123"/>
      <c r="S54" s="122"/>
      <c r="T54" s="122"/>
      <c r="U54" s="122"/>
      <c r="V54" s="122"/>
      <c r="W54" s="122"/>
      <c r="Y54" s="122"/>
      <c r="Z54" s="122"/>
      <c r="AA54" s="122"/>
      <c r="AB54" s="122"/>
      <c r="AC54" s="122"/>
      <c r="AD54" s="122"/>
      <c r="AE54" s="124"/>
      <c r="AF54" s="124"/>
      <c r="AG54" s="124"/>
      <c r="AH54" s="124"/>
      <c r="AI54" s="124"/>
      <c r="AJ54" s="120"/>
      <c r="AK54" s="121"/>
      <c r="AL54" s="121"/>
      <c r="AM54" s="121"/>
      <c r="AN54" s="121"/>
      <c r="AO54" s="122"/>
      <c r="AP54" s="122"/>
      <c r="AQ54" s="122"/>
      <c r="AR54" s="122"/>
      <c r="AS54" s="122"/>
      <c r="AT54" s="124"/>
      <c r="AU54" s="124"/>
      <c r="AV54" s="124"/>
      <c r="AW54" s="124"/>
      <c r="AX54" s="124"/>
    </row>
    <row r="55" spans="1:50" s="117" customFormat="1" ht="12.75">
      <c r="A55" s="1435"/>
      <c r="B55" s="1435"/>
      <c r="C55" s="119"/>
      <c r="D55" s="118"/>
      <c r="I55" s="122"/>
      <c r="J55" s="148"/>
      <c r="K55" s="121"/>
      <c r="M55" s="123"/>
      <c r="N55" s="123"/>
      <c r="O55" s="123"/>
      <c r="P55" s="123"/>
      <c r="Q55" s="123"/>
      <c r="R55" s="123"/>
      <c r="S55" s="122"/>
      <c r="T55" s="122"/>
      <c r="U55" s="122"/>
      <c r="V55" s="122"/>
      <c r="W55" s="122"/>
      <c r="Y55" s="122"/>
      <c r="Z55" s="122"/>
      <c r="AA55" s="122"/>
      <c r="AB55" s="122"/>
      <c r="AC55" s="122"/>
      <c r="AD55" s="122"/>
      <c r="AE55" s="124"/>
      <c r="AF55" s="124"/>
      <c r="AG55" s="124"/>
      <c r="AH55" s="124"/>
      <c r="AI55" s="124"/>
      <c r="AJ55" s="120"/>
      <c r="AK55" s="121"/>
      <c r="AL55" s="121"/>
      <c r="AM55" s="121"/>
      <c r="AN55" s="121"/>
      <c r="AO55" s="122"/>
      <c r="AP55" s="122"/>
      <c r="AQ55" s="122"/>
      <c r="AR55" s="122"/>
      <c r="AS55" s="122"/>
      <c r="AT55" s="124"/>
      <c r="AU55" s="124"/>
      <c r="AV55" s="124"/>
      <c r="AW55" s="124"/>
      <c r="AX55" s="124"/>
    </row>
    <row r="56" spans="1:50" s="117" customFormat="1" ht="12.75">
      <c r="A56" s="1435"/>
      <c r="B56" s="1435"/>
      <c r="C56" s="119"/>
      <c r="D56" s="118"/>
      <c r="I56" s="122"/>
      <c r="J56" s="148"/>
      <c r="K56" s="121"/>
      <c r="M56" s="123"/>
      <c r="N56" s="123"/>
      <c r="O56" s="123"/>
      <c r="P56" s="123"/>
      <c r="Q56" s="123"/>
      <c r="R56" s="123"/>
      <c r="S56" s="122"/>
      <c r="T56" s="122"/>
      <c r="U56" s="122"/>
      <c r="V56" s="122"/>
      <c r="W56" s="122"/>
      <c r="Y56" s="122"/>
      <c r="Z56" s="122"/>
      <c r="AA56" s="122"/>
      <c r="AB56" s="122"/>
      <c r="AC56" s="122"/>
      <c r="AD56" s="122"/>
      <c r="AE56" s="124"/>
      <c r="AF56" s="124"/>
      <c r="AG56" s="124"/>
      <c r="AH56" s="124"/>
      <c r="AI56" s="124"/>
      <c r="AJ56" s="120"/>
      <c r="AK56" s="121"/>
      <c r="AL56" s="121"/>
      <c r="AM56" s="121"/>
      <c r="AN56" s="121"/>
      <c r="AO56" s="122"/>
      <c r="AP56" s="122"/>
      <c r="AQ56" s="122"/>
      <c r="AR56" s="122"/>
      <c r="AS56" s="122"/>
      <c r="AT56" s="124"/>
      <c r="AU56" s="124"/>
      <c r="AV56" s="124"/>
      <c r="AW56" s="124"/>
      <c r="AX56" s="124"/>
    </row>
    <row r="57" spans="1:50" s="117" customFormat="1" ht="12.75">
      <c r="A57" s="1435"/>
      <c r="B57" s="1435"/>
      <c r="C57" s="119"/>
      <c r="D57" s="118"/>
      <c r="I57" s="122"/>
      <c r="J57" s="148"/>
      <c r="K57" s="121"/>
      <c r="M57" s="123"/>
      <c r="N57" s="123"/>
      <c r="O57" s="123"/>
      <c r="P57" s="123"/>
      <c r="Q57" s="123"/>
      <c r="R57" s="123"/>
      <c r="S57" s="122"/>
      <c r="T57" s="122"/>
      <c r="U57" s="122"/>
      <c r="V57" s="122"/>
      <c r="W57" s="122"/>
      <c r="Y57" s="122"/>
      <c r="Z57" s="122"/>
      <c r="AA57" s="122"/>
      <c r="AB57" s="122"/>
      <c r="AC57" s="122"/>
      <c r="AD57" s="122"/>
      <c r="AE57" s="124"/>
      <c r="AF57" s="124"/>
      <c r="AG57" s="124"/>
      <c r="AH57" s="124"/>
      <c r="AI57" s="124"/>
      <c r="AJ57" s="120"/>
      <c r="AK57" s="121"/>
      <c r="AL57" s="121"/>
      <c r="AM57" s="121"/>
      <c r="AN57" s="121"/>
      <c r="AO57" s="122"/>
      <c r="AP57" s="122"/>
      <c r="AQ57" s="122"/>
      <c r="AR57" s="122"/>
      <c r="AS57" s="122"/>
      <c r="AT57" s="124"/>
      <c r="AU57" s="124"/>
      <c r="AV57" s="124"/>
      <c r="AW57" s="124"/>
      <c r="AX57" s="124"/>
    </row>
    <row r="58" spans="1:50" s="117" customFormat="1" ht="12.75">
      <c r="A58" s="1435"/>
      <c r="B58" s="1435"/>
      <c r="C58" s="119"/>
      <c r="D58" s="118"/>
      <c r="I58" s="122"/>
      <c r="J58" s="148"/>
      <c r="K58" s="121"/>
      <c r="M58" s="123"/>
      <c r="N58" s="123"/>
      <c r="O58" s="123"/>
      <c r="P58" s="123"/>
      <c r="Q58" s="123"/>
      <c r="R58" s="123"/>
      <c r="S58" s="122"/>
      <c r="T58" s="122"/>
      <c r="U58" s="122"/>
      <c r="V58" s="122"/>
      <c r="W58" s="122"/>
      <c r="Y58" s="122"/>
      <c r="Z58" s="122"/>
      <c r="AA58" s="122"/>
      <c r="AB58" s="122"/>
      <c r="AC58" s="122"/>
      <c r="AD58" s="122"/>
      <c r="AE58" s="124"/>
      <c r="AF58" s="124"/>
      <c r="AG58" s="124"/>
      <c r="AH58" s="124"/>
      <c r="AI58" s="124"/>
      <c r="AJ58" s="120"/>
      <c r="AK58" s="121"/>
      <c r="AL58" s="121"/>
      <c r="AM58" s="121"/>
      <c r="AN58" s="121"/>
      <c r="AO58" s="122"/>
      <c r="AP58" s="122"/>
      <c r="AQ58" s="122"/>
      <c r="AR58" s="122"/>
      <c r="AS58" s="122"/>
      <c r="AT58" s="124"/>
      <c r="AU58" s="124"/>
      <c r="AV58" s="124"/>
      <c r="AW58" s="124"/>
      <c r="AX58" s="124"/>
    </row>
    <row r="59" spans="1:50" s="117" customFormat="1" ht="12.75">
      <c r="A59" s="1435"/>
      <c r="B59" s="1435"/>
      <c r="C59" s="119"/>
      <c r="D59" s="118"/>
      <c r="I59" s="122"/>
      <c r="J59" s="148"/>
      <c r="K59" s="121"/>
      <c r="M59" s="123"/>
      <c r="N59" s="123"/>
      <c r="O59" s="123"/>
      <c r="P59" s="123"/>
      <c r="Q59" s="123"/>
      <c r="R59" s="123"/>
      <c r="S59" s="122"/>
      <c r="T59" s="122"/>
      <c r="U59" s="122"/>
      <c r="V59" s="122"/>
      <c r="W59" s="122"/>
      <c r="Y59" s="122"/>
      <c r="Z59" s="122"/>
      <c r="AA59" s="122"/>
      <c r="AB59" s="122"/>
      <c r="AC59" s="122"/>
      <c r="AD59" s="122"/>
      <c r="AE59" s="124"/>
      <c r="AF59" s="124"/>
      <c r="AG59" s="124"/>
      <c r="AH59" s="124"/>
      <c r="AI59" s="124"/>
      <c r="AJ59" s="120"/>
      <c r="AK59" s="121"/>
      <c r="AL59" s="121"/>
      <c r="AM59" s="121"/>
      <c r="AN59" s="121"/>
      <c r="AO59" s="122"/>
      <c r="AP59" s="122"/>
      <c r="AQ59" s="122"/>
      <c r="AR59" s="122"/>
      <c r="AS59" s="122"/>
      <c r="AT59" s="124"/>
      <c r="AU59" s="124"/>
      <c r="AV59" s="124"/>
      <c r="AW59" s="124"/>
      <c r="AX59" s="124"/>
    </row>
    <row r="60" spans="1:50" s="117" customFormat="1" ht="12.75">
      <c r="A60" s="1435"/>
      <c r="B60" s="1435"/>
      <c r="C60" s="119"/>
      <c r="D60" s="118"/>
      <c r="I60" s="122"/>
      <c r="J60" s="148"/>
      <c r="K60" s="121"/>
      <c r="M60" s="123"/>
      <c r="N60" s="123"/>
      <c r="O60" s="123"/>
      <c r="P60" s="123"/>
      <c r="Q60" s="123"/>
      <c r="R60" s="123"/>
      <c r="S60" s="122"/>
      <c r="T60" s="122"/>
      <c r="U60" s="122"/>
      <c r="V60" s="122"/>
      <c r="W60" s="122"/>
      <c r="Y60" s="122"/>
      <c r="Z60" s="122"/>
      <c r="AA60" s="122"/>
      <c r="AB60" s="122"/>
      <c r="AC60" s="122"/>
      <c r="AD60" s="122"/>
      <c r="AE60" s="124"/>
      <c r="AF60" s="124"/>
      <c r="AG60" s="124"/>
      <c r="AH60" s="124"/>
      <c r="AI60" s="124"/>
      <c r="AJ60" s="120"/>
      <c r="AK60" s="121"/>
      <c r="AL60" s="121"/>
      <c r="AM60" s="121"/>
      <c r="AN60" s="121"/>
      <c r="AO60" s="122"/>
      <c r="AP60" s="122"/>
      <c r="AQ60" s="122"/>
      <c r="AR60" s="122"/>
      <c r="AS60" s="122"/>
      <c r="AT60" s="124"/>
      <c r="AU60" s="124"/>
      <c r="AV60" s="124"/>
      <c r="AW60" s="124"/>
      <c r="AX60" s="124"/>
    </row>
    <row r="61" spans="1:50" s="117" customFormat="1" ht="12.75">
      <c r="A61" s="1435"/>
      <c r="B61" s="1435"/>
      <c r="C61" s="119"/>
      <c r="D61" s="118"/>
      <c r="I61" s="122"/>
      <c r="J61" s="148"/>
      <c r="K61" s="121"/>
      <c r="M61" s="123"/>
      <c r="N61" s="123"/>
      <c r="O61" s="123"/>
      <c r="P61" s="123"/>
      <c r="Q61" s="123"/>
      <c r="R61" s="123"/>
      <c r="S61" s="122"/>
      <c r="T61" s="122"/>
      <c r="U61" s="122"/>
      <c r="V61" s="122"/>
      <c r="W61" s="122"/>
      <c r="Y61" s="122"/>
      <c r="Z61" s="122"/>
      <c r="AA61" s="122"/>
      <c r="AB61" s="122"/>
      <c r="AC61" s="122"/>
      <c r="AD61" s="122"/>
      <c r="AE61" s="124"/>
      <c r="AF61" s="124"/>
      <c r="AG61" s="124"/>
      <c r="AH61" s="124"/>
      <c r="AI61" s="124"/>
      <c r="AJ61" s="120"/>
      <c r="AK61" s="121"/>
      <c r="AL61" s="121"/>
      <c r="AM61" s="121"/>
      <c r="AN61" s="121"/>
      <c r="AO61" s="122"/>
      <c r="AP61" s="122"/>
      <c r="AQ61" s="122"/>
      <c r="AR61" s="122"/>
      <c r="AS61" s="122"/>
      <c r="AT61" s="124"/>
      <c r="AU61" s="124"/>
      <c r="AV61" s="124"/>
      <c r="AW61" s="124"/>
      <c r="AX61" s="124"/>
    </row>
    <row r="62" spans="1:50" s="117" customFormat="1" ht="12.75">
      <c r="A62" s="1435"/>
      <c r="B62" s="1435"/>
      <c r="C62" s="119"/>
      <c r="D62" s="118"/>
      <c r="I62" s="122"/>
      <c r="J62" s="148"/>
      <c r="K62" s="121"/>
      <c r="M62" s="123"/>
      <c r="N62" s="123"/>
      <c r="O62" s="123"/>
      <c r="P62" s="123"/>
      <c r="Q62" s="123"/>
      <c r="R62" s="123"/>
      <c r="S62" s="122"/>
      <c r="T62" s="122"/>
      <c r="U62" s="122"/>
      <c r="V62" s="122"/>
      <c r="W62" s="122"/>
      <c r="Y62" s="122"/>
      <c r="Z62" s="122"/>
      <c r="AA62" s="122"/>
      <c r="AB62" s="122"/>
      <c r="AC62" s="122"/>
      <c r="AD62" s="122"/>
      <c r="AE62" s="124"/>
      <c r="AF62" s="124"/>
      <c r="AG62" s="124"/>
      <c r="AH62" s="124"/>
      <c r="AI62" s="124"/>
      <c r="AJ62" s="120"/>
      <c r="AK62" s="121"/>
      <c r="AL62" s="121"/>
      <c r="AM62" s="121"/>
      <c r="AN62" s="121"/>
      <c r="AO62" s="122"/>
      <c r="AP62" s="122"/>
      <c r="AQ62" s="122"/>
      <c r="AR62" s="122"/>
      <c r="AS62" s="122"/>
      <c r="AT62" s="124"/>
      <c r="AU62" s="124"/>
      <c r="AV62" s="124"/>
      <c r="AW62" s="124"/>
      <c r="AX62" s="124"/>
    </row>
  </sheetData>
  <sheetProtection/>
  <mergeCells count="23">
    <mergeCell ref="D2:I2"/>
    <mergeCell ref="L2:P2"/>
    <mergeCell ref="S2:V2"/>
    <mergeCell ref="Y2:AB2"/>
    <mergeCell ref="AE2:AH2"/>
    <mergeCell ref="AJ2:AR2"/>
    <mergeCell ref="AU39:AX39"/>
    <mergeCell ref="AE39:AH39"/>
    <mergeCell ref="M4:P4"/>
    <mergeCell ref="Y39:AB39"/>
    <mergeCell ref="AO39:AR39"/>
    <mergeCell ref="S3:V3"/>
    <mergeCell ref="Y3:AB3"/>
    <mergeCell ref="AU3:AX3"/>
    <mergeCell ref="AJ3:AL3"/>
    <mergeCell ref="AO3:AR3"/>
    <mergeCell ref="A42:A62"/>
    <mergeCell ref="B42:B47"/>
    <mergeCell ref="B48:B62"/>
    <mergeCell ref="E4:H4"/>
    <mergeCell ref="E3:I3"/>
    <mergeCell ref="AE3:AH3"/>
    <mergeCell ref="L3:P3"/>
  </mergeCells>
  <hyperlinks>
    <hyperlink ref="A1" location="Inputs!A1" display="Index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64.7109375" style="0" customWidth="1"/>
    <col min="2" max="2" width="16.00390625" style="0" customWidth="1"/>
    <col min="3" max="6" width="19.00390625" style="0" customWidth="1"/>
  </cols>
  <sheetData>
    <row r="1" spans="1:4" ht="15.75">
      <c r="A1" s="186" t="s">
        <v>254</v>
      </c>
      <c r="D1" s="390" t="s">
        <v>775</v>
      </c>
    </row>
    <row r="2" ht="38.25">
      <c r="B2" s="187" t="s">
        <v>255</v>
      </c>
    </row>
    <row r="3" spans="1:2" ht="12.75">
      <c r="A3" s="187" t="s">
        <v>256</v>
      </c>
      <c r="B3" s="188">
        <f>'RRP 5.1'!G36</f>
        <v>7216.204194499999</v>
      </c>
    </row>
    <row r="4" spans="1:2" ht="12.75">
      <c r="A4" s="187" t="s">
        <v>257</v>
      </c>
      <c r="B4" s="188">
        <f>'RRP 5.1'!G35</f>
        <v>2482.1083529999996</v>
      </c>
    </row>
    <row r="5" spans="1:2" ht="12.75">
      <c r="A5" s="187" t="s">
        <v>379</v>
      </c>
      <c r="B5" s="188">
        <f>'RRP 5.1'!G34</f>
        <v>2954.8379382999997</v>
      </c>
    </row>
    <row r="6" spans="1:2" ht="12.75">
      <c r="A6" s="187" t="s">
        <v>389</v>
      </c>
      <c r="B6" s="188">
        <f>'RRP 5.1'!G40</f>
        <v>675.2370000000001</v>
      </c>
    </row>
    <row r="8" ht="15.75">
      <c r="A8" s="186" t="s">
        <v>380</v>
      </c>
    </row>
    <row r="9" spans="2:6" ht="12.75">
      <c r="B9" s="187" t="s">
        <v>381</v>
      </c>
      <c r="C9" s="187" t="s">
        <v>804</v>
      </c>
      <c r="D9" s="187" t="s">
        <v>803</v>
      </c>
      <c r="E9" s="187" t="s">
        <v>809</v>
      </c>
      <c r="F9" s="187" t="s">
        <v>807</v>
      </c>
    </row>
    <row r="10" spans="1:6" ht="12.75">
      <c r="A10" s="187" t="s">
        <v>256</v>
      </c>
      <c r="B10" s="188">
        <v>1</v>
      </c>
      <c r="C10" s="188">
        <v>1</v>
      </c>
      <c r="D10" s="188">
        <v>1</v>
      </c>
      <c r="E10" s="188">
        <v>1</v>
      </c>
      <c r="F10" s="188">
        <v>1</v>
      </c>
    </row>
    <row r="11" spans="1:6" ht="12.75">
      <c r="A11" s="187" t="s">
        <v>257</v>
      </c>
      <c r="B11" s="188">
        <v>0</v>
      </c>
      <c r="C11" s="188">
        <v>0</v>
      </c>
      <c r="D11" s="188">
        <f>(1+$B$6/($B$3+$B$4/2+$B$5/4)/2)/(1+$B$6/($B$3+$B$4/2+$B$5/4))</f>
        <v>0.965797640213158</v>
      </c>
      <c r="E11" s="188">
        <f>(1+$B$6/($B$3+$B$4/2+$B$5/4)/2)/(1+$B$6/($B$3+$B$4/2+$B$5/4))</f>
        <v>0.965797640213158</v>
      </c>
      <c r="F11" s="188">
        <f>(1+$B$6/($B$3+$B$4/2+$B$5/4)/2)/(1+$B$6/($B$3+$B$4/2+$B$5/4))</f>
        <v>0.965797640213158</v>
      </c>
    </row>
    <row r="12" spans="1:6" ht="12.75">
      <c r="A12" s="187" t="s">
        <v>379</v>
      </c>
      <c r="B12" s="188">
        <v>0</v>
      </c>
      <c r="C12" s="188">
        <v>0</v>
      </c>
      <c r="D12" s="188">
        <v>0</v>
      </c>
      <c r="E12" s="188">
        <f>(1+$B$6/($B$3+$B$4/2+$B$5/4)/4)/(1+$B$6/($B$3+$B$4/2+$B$5/4))</f>
        <v>0.9486964603197368</v>
      </c>
      <c r="F12" s="188">
        <f>(1+$B$6/($B$3+$B$4/2+$B$5/4)/4)/(1+$B$6/($B$3+$B$4/2+$B$5/4))</f>
        <v>0.9486964603197368</v>
      </c>
    </row>
    <row r="14" ht="15.75">
      <c r="A14" s="186"/>
    </row>
    <row r="15" ht="14.25">
      <c r="A15" s="189"/>
    </row>
    <row r="16" ht="14.25">
      <c r="A16" s="189"/>
    </row>
    <row r="17" ht="14.25">
      <c r="A17" s="190"/>
    </row>
    <row r="18" ht="14.25">
      <c r="A18" s="190"/>
    </row>
    <row r="19" spans="2:6" ht="12.75">
      <c r="B19" s="187" t="s">
        <v>381</v>
      </c>
      <c r="C19" s="187" t="s">
        <v>804</v>
      </c>
      <c r="D19" s="187" t="s">
        <v>803</v>
      </c>
      <c r="E19" s="187" t="s">
        <v>809</v>
      </c>
      <c r="F19" s="187" t="s">
        <v>807</v>
      </c>
    </row>
    <row r="20" spans="1:6" ht="12.75">
      <c r="A20" s="187" t="s">
        <v>388</v>
      </c>
      <c r="B20" s="191">
        <f>SUMPRODUCT(B$10:B$12,$B$3:$B$5)</f>
        <v>7216.204194499999</v>
      </c>
      <c r="C20" s="191">
        <f>SUMPRODUCT(C$10:C$12,$B$3:$B$5)</f>
        <v>7216.204194499999</v>
      </c>
      <c r="D20" s="191">
        <f>SUMPRODUCT(D$10:D$12,$B$3:$B$5)</f>
        <v>9613.418584580766</v>
      </c>
      <c r="E20" s="191">
        <f>SUMPRODUCT(E$10:E$12,$B$3:$B$5)</f>
        <v>12416.662877464445</v>
      </c>
      <c r="F20" s="191">
        <f>SUMPRODUCT(F$10:F$12,$B$3:$B$5)</f>
        <v>12416.662877464445</v>
      </c>
    </row>
    <row r="21" spans="1:6" ht="12.75">
      <c r="A21" s="187" t="s">
        <v>167</v>
      </c>
      <c r="B21" s="194">
        <f>B20*1000000</f>
        <v>7216204194.499999</v>
      </c>
      <c r="C21" s="194">
        <f>C20*1000000</f>
        <v>7216204194.499999</v>
      </c>
      <c r="D21" s="194">
        <f>D20*1000000</f>
        <v>9613418584.580767</v>
      </c>
      <c r="E21" s="194">
        <f>E20*1000000</f>
        <v>12416662877.464445</v>
      </c>
      <c r="F21" s="194">
        <f>F20*1000000</f>
        <v>12416662877.464445</v>
      </c>
    </row>
    <row r="25" spans="1:5" ht="12.75">
      <c r="A25" s="95"/>
      <c r="B25" s="95"/>
      <c r="C25" s="95"/>
      <c r="D25" s="95"/>
      <c r="E25" s="95"/>
    </row>
    <row r="26" spans="1:5" ht="12.75">
      <c r="A26" s="95"/>
      <c r="B26" s="95"/>
      <c r="C26" s="95"/>
      <c r="D26" s="95"/>
      <c r="E26" s="95"/>
    </row>
    <row r="27" spans="1:5" ht="12.75">
      <c r="A27" s="95"/>
      <c r="B27" s="95"/>
      <c r="C27" s="192"/>
      <c r="D27" s="192"/>
      <c r="E27" s="192"/>
    </row>
    <row r="28" spans="1:5" ht="12.75">
      <c r="A28" s="95"/>
      <c r="B28" s="95"/>
      <c r="C28" s="192"/>
      <c r="D28" s="192"/>
      <c r="E28" s="192"/>
    </row>
    <row r="29" spans="1:5" ht="12.75">
      <c r="A29" s="95"/>
      <c r="B29" s="95"/>
      <c r="C29" s="192"/>
      <c r="D29" s="192"/>
      <c r="E29" s="192"/>
    </row>
    <row r="30" spans="1:5" ht="12.75">
      <c r="A30" s="95"/>
      <c r="B30" s="95"/>
      <c r="C30" s="192"/>
      <c r="D30" s="192"/>
      <c r="E30" s="192"/>
    </row>
    <row r="31" spans="1:5" ht="12.75">
      <c r="A31" s="95"/>
      <c r="B31" s="95"/>
      <c r="C31" s="193"/>
      <c r="D31" s="193"/>
      <c r="E31" s="192"/>
    </row>
    <row r="32" spans="1:5" ht="12.75">
      <c r="A32" s="95"/>
      <c r="B32" s="95"/>
      <c r="C32" s="193"/>
      <c r="D32" s="193"/>
      <c r="E32" s="192"/>
    </row>
    <row r="33" spans="1:5" ht="12.75">
      <c r="A33" s="95"/>
      <c r="B33" s="95"/>
      <c r="C33" s="193"/>
      <c r="D33" s="193"/>
      <c r="E33" s="192"/>
    </row>
    <row r="34" spans="1:5" ht="12.75">
      <c r="A34" s="95"/>
      <c r="B34" s="95"/>
      <c r="C34" s="193"/>
      <c r="D34" s="193"/>
      <c r="E34" s="192"/>
    </row>
    <row r="35" spans="1:5" ht="12.75">
      <c r="A35" s="95"/>
      <c r="B35" s="95"/>
      <c r="C35" s="193"/>
      <c r="D35" s="111"/>
      <c r="E35" s="111"/>
    </row>
    <row r="36" spans="1:5" ht="12.75">
      <c r="A36" s="95"/>
      <c r="B36" s="95"/>
      <c r="C36" s="111"/>
      <c r="D36" s="111"/>
      <c r="E36" s="111"/>
    </row>
    <row r="37" spans="1:5" ht="12.75">
      <c r="A37" s="95"/>
      <c r="B37" s="95"/>
      <c r="C37" s="192"/>
      <c r="D37" s="192"/>
      <c r="E37" s="192"/>
    </row>
  </sheetData>
  <sheetProtection/>
  <hyperlinks>
    <hyperlink ref="D1" location="Inputs!A1" display="Index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7">
      <selection activeCell="C17" sqref="C17:D17"/>
    </sheetView>
  </sheetViews>
  <sheetFormatPr defaultColWidth="8.8515625" defaultRowHeight="12.75"/>
  <cols>
    <col min="1" max="1" width="8.8515625" style="0" customWidth="1"/>
    <col min="2" max="2" width="16.140625" style="0" customWidth="1"/>
    <col min="3" max="5" width="8.8515625" style="0" customWidth="1"/>
    <col min="6" max="6" width="16.421875" style="0" customWidth="1"/>
    <col min="7" max="8" width="29.421875" style="0" customWidth="1"/>
  </cols>
  <sheetData>
    <row r="1" spans="1:7" s="10" customFormat="1" ht="12.75">
      <c r="A1" s="10" t="s">
        <v>287</v>
      </c>
      <c r="G1" s="390" t="s">
        <v>775</v>
      </c>
    </row>
    <row r="3" spans="2:7" ht="12.75">
      <c r="B3" s="17" t="s">
        <v>192</v>
      </c>
      <c r="C3" s="17" t="s">
        <v>804</v>
      </c>
      <c r="D3" s="17" t="s">
        <v>803</v>
      </c>
      <c r="E3" s="17" t="s">
        <v>809</v>
      </c>
      <c r="F3" s="337" t="s">
        <v>193</v>
      </c>
      <c r="G3" s="339"/>
    </row>
    <row r="4" spans="2:7" ht="38.25">
      <c r="B4" s="24" t="s">
        <v>102</v>
      </c>
      <c r="C4" s="25">
        <f>'Calc-Net capex'!$D$6</f>
        <v>0.18558934458027707</v>
      </c>
      <c r="D4" s="25">
        <f>'Calc-Net capex'!$D$7</f>
        <v>0.43718110477041494</v>
      </c>
      <c r="E4" s="79">
        <f>'Calc-Net capex'!$D$8+'Calc-Net capex'!$D$9</f>
        <v>0.37722955064930797</v>
      </c>
      <c r="F4" s="84" t="s">
        <v>65</v>
      </c>
      <c r="G4" s="338"/>
    </row>
    <row r="5" spans="2:7" ht="12.75">
      <c r="B5" s="24" t="s">
        <v>151</v>
      </c>
      <c r="C5" s="28">
        <v>1</v>
      </c>
      <c r="D5" s="28">
        <v>0</v>
      </c>
      <c r="E5" s="80">
        <v>0</v>
      </c>
      <c r="F5" s="85" t="s">
        <v>197</v>
      </c>
      <c r="G5" s="85"/>
    </row>
    <row r="6" spans="2:7" ht="12.75">
      <c r="B6" s="24" t="s">
        <v>189</v>
      </c>
      <c r="C6" s="26">
        <f>'RRP 5.1'!$G$64/'RRP 5.1'!$G$65</f>
        <v>0.4007425391764768</v>
      </c>
      <c r="D6" s="26">
        <f>'RRP 5.1'!$G$63/'RRP 5.1'!$G$65</f>
        <v>0.5056168040502054</v>
      </c>
      <c r="E6" s="81">
        <f>('RRP 5.1'!$G$61+'RRP 5.1'!$G$62)/'RRP 5.1'!$G$65</f>
        <v>0.09364065677331795</v>
      </c>
      <c r="F6" s="85" t="s">
        <v>194</v>
      </c>
      <c r="G6" s="85"/>
    </row>
    <row r="7" spans="2:7" ht="12.75">
      <c r="B7" s="24" t="s">
        <v>182</v>
      </c>
      <c r="C7" s="26">
        <f>0/'RRP 5.1'!$G$73</f>
        <v>0</v>
      </c>
      <c r="D7" s="26">
        <f>('RRP 5.1'!$G$71+'RRP 5.1'!$G$72)/'RRP 5.1'!$G$73</f>
        <v>0.9931303472571716</v>
      </c>
      <c r="E7" s="81">
        <f>('RRP 5.1'!$G$68+'RRP 5.1'!$G$69+'RRP 5.1'!$G$70)/'RRP 5.1'!$G$73</f>
        <v>0.006869652742828384</v>
      </c>
      <c r="F7" s="85" t="s">
        <v>194</v>
      </c>
      <c r="G7" s="85"/>
    </row>
    <row r="8" spans="2:7" ht="25.5">
      <c r="B8" s="24" t="s">
        <v>191</v>
      </c>
      <c r="C8" s="26">
        <v>0</v>
      </c>
      <c r="D8" s="26">
        <v>0</v>
      </c>
      <c r="E8" s="81">
        <v>1</v>
      </c>
      <c r="F8" s="85" t="s">
        <v>197</v>
      </c>
      <c r="G8" s="85"/>
    </row>
    <row r="9" spans="2:7" ht="25.5">
      <c r="B9" s="24" t="s">
        <v>198</v>
      </c>
      <c r="C9" s="26">
        <f>'Calc-MEAV'!D6</f>
        <v>0.4330018323211816</v>
      </c>
      <c r="D9" s="26">
        <f>'Calc-MEAV'!D7</f>
        <v>0.3463643428682903</v>
      </c>
      <c r="E9" s="81">
        <f>'Calc-MEAV'!D8+'Calc-MEAV'!D9</f>
        <v>0.22063382481052818</v>
      </c>
      <c r="F9" s="338" t="s">
        <v>66</v>
      </c>
      <c r="G9" s="338"/>
    </row>
    <row r="10" spans="2:7" ht="12.75">
      <c r="B10" s="24" t="s">
        <v>329</v>
      </c>
      <c r="C10" s="26">
        <v>0</v>
      </c>
      <c r="D10" s="26">
        <v>0</v>
      </c>
      <c r="E10" s="81">
        <v>1</v>
      </c>
      <c r="F10" s="85" t="s">
        <v>197</v>
      </c>
      <c r="G10" s="85"/>
    </row>
    <row r="11" spans="2:7" ht="12.75">
      <c r="B11" s="24" t="s">
        <v>123</v>
      </c>
      <c r="C11" s="26">
        <v>1</v>
      </c>
      <c r="D11" s="26">
        <v>0</v>
      </c>
      <c r="E11" s="81">
        <v>0</v>
      </c>
      <c r="F11" s="85" t="s">
        <v>197</v>
      </c>
      <c r="G11" s="85"/>
    </row>
    <row r="12" spans="2:7" ht="12.75">
      <c r="B12" s="27" t="s">
        <v>124</v>
      </c>
      <c r="C12" s="29">
        <v>0</v>
      </c>
      <c r="D12" s="29">
        <v>1</v>
      </c>
      <c r="E12" s="82">
        <v>0</v>
      </c>
      <c r="F12" s="311" t="s">
        <v>197</v>
      </c>
      <c r="G12" s="85"/>
    </row>
    <row r="14" s="10" customFormat="1" ht="12.75">
      <c r="A14" s="10" t="s">
        <v>172</v>
      </c>
    </row>
    <row r="16" spans="2:8" ht="12.75">
      <c r="B16" s="17" t="s">
        <v>192</v>
      </c>
      <c r="C16" s="17" t="s">
        <v>850</v>
      </c>
      <c r="D16" s="17" t="s">
        <v>308</v>
      </c>
      <c r="E16" s="17" t="s">
        <v>62</v>
      </c>
      <c r="F16" s="17" t="s">
        <v>803</v>
      </c>
      <c r="G16" s="17" t="s">
        <v>809</v>
      </c>
      <c r="H16" s="83" t="s">
        <v>193</v>
      </c>
    </row>
    <row r="17" spans="2:8" ht="54" customHeight="1">
      <c r="B17" s="24" t="s">
        <v>102</v>
      </c>
      <c r="C17" s="25">
        <f>'Calc-Net capex'!$D$6*SUM('FBPQ NL1'!D10:M13)/SUM('FBPQ NL1'!D10:M16)</f>
        <v>0.07623077482259967</v>
      </c>
      <c r="D17" s="25">
        <f>'Calc-Net capex'!$D$6*SUM('FBPQ NL1'!D14:M16)/SUM('FBPQ NL1'!D10:M16)</f>
        <v>0.10935856975767738</v>
      </c>
      <c r="E17" s="25">
        <f>'Calc-Net capex'!H7</f>
        <v>0.08683873351524637</v>
      </c>
      <c r="F17" s="25">
        <f>'Calc-Net capex'!H8</f>
        <v>0.3503423712551686</v>
      </c>
      <c r="G17" s="79">
        <f>'Calc-Net capex'!$D$8+'Calc-Net capex'!$D$9</f>
        <v>0.37722955064930797</v>
      </c>
      <c r="H17" s="84" t="s">
        <v>65</v>
      </c>
    </row>
    <row r="18" spans="2:8" ht="12.75">
      <c r="B18" s="24" t="s">
        <v>190</v>
      </c>
      <c r="C18" s="28">
        <v>1</v>
      </c>
      <c r="D18" s="28">
        <v>0</v>
      </c>
      <c r="E18" s="28">
        <v>0</v>
      </c>
      <c r="F18" s="28">
        <v>0</v>
      </c>
      <c r="G18" s="80">
        <v>0</v>
      </c>
      <c r="H18" s="85" t="s">
        <v>197</v>
      </c>
    </row>
    <row r="19" spans="2:8" ht="12.75">
      <c r="B19" s="24" t="s">
        <v>189</v>
      </c>
      <c r="C19" s="26"/>
      <c r="D19" s="26">
        <f>'RRP 5.1'!$G$64/'RRP 5.1'!$G$65</f>
        <v>0.4007425391764768</v>
      </c>
      <c r="E19" s="26">
        <v>0</v>
      </c>
      <c r="F19" s="26">
        <f>'RRP 5.1'!$G$63/'RRP 5.1'!$G$65</f>
        <v>0.5056168040502054</v>
      </c>
      <c r="G19" s="81">
        <f>('RRP 5.1'!$G$61+'RRP 5.1'!$G$62)/'RRP 5.1'!$G$65</f>
        <v>0.09364065677331795</v>
      </c>
      <c r="H19" s="85" t="s">
        <v>194</v>
      </c>
    </row>
    <row r="20" spans="2:8" ht="12.75">
      <c r="B20" s="24" t="s">
        <v>188</v>
      </c>
      <c r="C20" s="26"/>
      <c r="D20" s="26">
        <f>0/'RRP 5.1'!$G$73</f>
        <v>0</v>
      </c>
      <c r="E20" s="26">
        <v>0</v>
      </c>
      <c r="F20" s="26">
        <f>('RRP 5.1'!$G$71+'RRP 5.1'!$G$72)/'RRP 5.1'!$G$73</f>
        <v>0.9931303472571716</v>
      </c>
      <c r="G20" s="81">
        <f>('RRP 5.1'!$G$68+'RRP 5.1'!$G$69+'RRP 5.1'!$G$70)/'RRP 5.1'!$G$73</f>
        <v>0.006869652742828384</v>
      </c>
      <c r="H20" s="85" t="s">
        <v>194</v>
      </c>
    </row>
    <row r="21" spans="2:8" ht="25.5">
      <c r="B21" s="24" t="s">
        <v>191</v>
      </c>
      <c r="C21" s="26"/>
      <c r="D21" s="26">
        <v>0</v>
      </c>
      <c r="E21" s="26">
        <v>0</v>
      </c>
      <c r="F21" s="26">
        <v>0</v>
      </c>
      <c r="G21" s="81">
        <v>1</v>
      </c>
      <c r="H21" s="85" t="s">
        <v>197</v>
      </c>
    </row>
    <row r="22" spans="2:8" ht="59.25" customHeight="1">
      <c r="B22" s="24" t="s">
        <v>198</v>
      </c>
      <c r="C22" s="88">
        <f>'Calc-MEAV'!H6*(('Calc-MEAV'!I21+'Calc-MEAV'!I30)/'Calc-MEAV'!G6)</f>
        <v>0.1606772341242173</v>
      </c>
      <c r="D22" s="88">
        <f>'Calc-MEAV'!H6*(('Calc-MEAV'!G6-'Calc-MEAV'!I21-'Calc-MEAV'!I30)/'Calc-MEAV'!G6)</f>
        <v>0.2723245981969643</v>
      </c>
      <c r="E22" s="88">
        <f>'Calc-MEAV'!H7</f>
        <v>0.06810256034239837</v>
      </c>
      <c r="F22" s="88">
        <f>'Calc-MEAV'!H8</f>
        <v>0.27826178252589195</v>
      </c>
      <c r="G22" s="88">
        <f>'Calc-MEAV'!H9+'Calc-MEAV'!H10</f>
        <v>0.22063382481052818</v>
      </c>
      <c r="H22" s="87" t="s">
        <v>66</v>
      </c>
    </row>
    <row r="23" spans="2:8" ht="55.5" customHeight="1">
      <c r="B23" s="24" t="s">
        <v>35</v>
      </c>
      <c r="C23" s="88"/>
      <c r="D23" s="88">
        <f>'Calc-MEAV'!L6</f>
        <v>0.324457537992324</v>
      </c>
      <c r="E23" s="88">
        <f>'Calc-MEAV'!L7</f>
        <v>0.10529097103799183</v>
      </c>
      <c r="F23" s="88">
        <f>'Calc-MEAV'!L8</f>
        <v>0.3073802407417577</v>
      </c>
      <c r="G23" s="88">
        <f>'Calc-MEAV'!L9+'Calc-MEAV'!L10</f>
        <v>0.2628712502279264</v>
      </c>
      <c r="H23" s="87" t="s">
        <v>66</v>
      </c>
    </row>
    <row r="24" spans="2:8" ht="58.5" customHeight="1">
      <c r="B24" s="24" t="s">
        <v>77</v>
      </c>
      <c r="C24" s="88"/>
      <c r="D24" s="88">
        <f>'Calc-MEAV'!Q3</f>
        <v>0</v>
      </c>
      <c r="E24" s="88">
        <f>'Calc-MEAV'!Q4</f>
        <v>0</v>
      </c>
      <c r="F24" s="88" t="str">
        <f>'Calc-MEAV'!Q5</f>
        <v>% of Total</v>
      </c>
      <c r="G24" s="88">
        <f>'Calc-MEAV'!Q6+'Calc-MEAV'!Q7</f>
        <v>0.31932313993833994</v>
      </c>
      <c r="H24" s="87" t="s">
        <v>66</v>
      </c>
    </row>
    <row r="25" spans="2:8" ht="12.75">
      <c r="B25" s="24" t="s">
        <v>329</v>
      </c>
      <c r="C25" s="88"/>
      <c r="D25" s="88">
        <v>0</v>
      </c>
      <c r="E25" s="88">
        <v>0</v>
      </c>
      <c r="F25" s="88">
        <v>0</v>
      </c>
      <c r="G25" s="88">
        <v>1</v>
      </c>
      <c r="H25" s="85" t="s">
        <v>197</v>
      </c>
    </row>
    <row r="26" spans="2:8" ht="12.75">
      <c r="B26" s="24" t="s">
        <v>123</v>
      </c>
      <c r="C26" s="88"/>
      <c r="D26" s="88">
        <v>1</v>
      </c>
      <c r="E26" s="88">
        <v>0</v>
      </c>
      <c r="F26" s="88">
        <v>0</v>
      </c>
      <c r="G26" s="88">
        <v>0</v>
      </c>
      <c r="H26" s="85" t="s">
        <v>197</v>
      </c>
    </row>
    <row r="27" spans="2:8" ht="12.75">
      <c r="B27" s="27" t="s">
        <v>124</v>
      </c>
      <c r="C27" s="89"/>
      <c r="D27" s="89">
        <v>0</v>
      </c>
      <c r="E27" s="89">
        <v>0</v>
      </c>
      <c r="F27" s="89">
        <v>1</v>
      </c>
      <c r="G27" s="89">
        <v>0</v>
      </c>
      <c r="H27" s="161" t="s">
        <v>197</v>
      </c>
    </row>
    <row r="29" spans="2:6" ht="12.75">
      <c r="B29" s="9"/>
      <c r="C29" s="9"/>
      <c r="D29" s="9"/>
      <c r="E29" s="9"/>
      <c r="F29" s="9"/>
    </row>
    <row r="30" spans="2:6" ht="12.75">
      <c r="B30" s="9"/>
      <c r="C30" s="9"/>
      <c r="D30" s="9"/>
      <c r="E30" s="9"/>
      <c r="F30" s="9"/>
    </row>
    <row r="31" spans="2:6" ht="12.75">
      <c r="B31" s="308"/>
      <c r="C31" s="309"/>
      <c r="D31" s="309"/>
      <c r="E31" s="309"/>
      <c r="F31" s="310"/>
    </row>
    <row r="32" spans="2:6" ht="12.75">
      <c r="B32" s="308"/>
      <c r="C32" s="309"/>
      <c r="D32" s="309"/>
      <c r="E32" s="309"/>
      <c r="F32" s="310"/>
    </row>
    <row r="33" spans="2:6" ht="12.75">
      <c r="B33" s="308"/>
      <c r="C33" s="309"/>
      <c r="D33" s="309"/>
      <c r="E33" s="309"/>
      <c r="F33" s="310"/>
    </row>
    <row r="34" spans="2:6" ht="12.75">
      <c r="B34" s="9"/>
      <c r="C34" s="9"/>
      <c r="D34" s="9"/>
      <c r="E34" s="9"/>
      <c r="F34" s="9"/>
    </row>
    <row r="35" spans="2:6" ht="12.75">
      <c r="B35" s="9"/>
      <c r="C35" s="9"/>
      <c r="D35" s="9"/>
      <c r="E35" s="9"/>
      <c r="F35" s="9"/>
    </row>
  </sheetData>
  <sheetProtection/>
  <hyperlinks>
    <hyperlink ref="G1" location="Inputs!A1" display="Index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64"/>
  <sheetViews>
    <sheetView zoomScale="80" zoomScaleNormal="80" zoomScalePageLayoutView="0" workbookViewId="0" topLeftCell="A1">
      <selection activeCell="G8" sqref="G8"/>
    </sheetView>
  </sheetViews>
  <sheetFormatPr defaultColWidth="8.8515625" defaultRowHeight="12.75"/>
  <cols>
    <col min="1" max="1" width="11.8515625" style="0" customWidth="1"/>
    <col min="2" max="2" width="9.8515625" style="0" customWidth="1"/>
    <col min="3" max="3" width="31.140625" style="0" customWidth="1"/>
    <col min="4" max="4" width="8.8515625" style="0" customWidth="1"/>
    <col min="5" max="7" width="20.421875" style="0" customWidth="1"/>
    <col min="8" max="9" width="21.8515625" style="0" customWidth="1"/>
    <col min="10" max="11" width="20.421875" style="51" customWidth="1"/>
    <col min="12" max="12" width="21.8515625" style="51" customWidth="1"/>
    <col min="13" max="14" width="9.140625" style="51" customWidth="1"/>
    <col min="15" max="15" width="20.421875" style="51" customWidth="1"/>
    <col min="16" max="16" width="20.421875" style="0" customWidth="1"/>
    <col min="17" max="17" width="21.8515625" style="0" customWidth="1"/>
  </cols>
  <sheetData>
    <row r="1" spans="1:6" s="3" customFormat="1" ht="12.75">
      <c r="A1" s="10" t="s">
        <v>165</v>
      </c>
      <c r="F1" s="390" t="s">
        <v>775</v>
      </c>
    </row>
    <row r="2" spans="10:15" ht="12.75">
      <c r="J2"/>
      <c r="K2"/>
      <c r="L2"/>
      <c r="M2"/>
      <c r="N2"/>
      <c r="O2"/>
    </row>
    <row r="3" spans="2:17" ht="26.25" customHeight="1">
      <c r="B3" s="1460" t="s">
        <v>60</v>
      </c>
      <c r="C3" s="1461"/>
      <c r="D3" s="1462"/>
      <c r="F3" s="1460" t="s">
        <v>61</v>
      </c>
      <c r="G3" s="1461"/>
      <c r="H3" s="1462"/>
      <c r="J3" s="1460" t="s">
        <v>170</v>
      </c>
      <c r="K3" s="1461"/>
      <c r="L3" s="1462"/>
      <c r="M3"/>
      <c r="N3"/>
      <c r="O3" s="1460" t="s">
        <v>171</v>
      </c>
      <c r="P3" s="1461"/>
      <c r="Q3" s="1462"/>
    </row>
    <row r="4" spans="2:17" ht="27.75" customHeight="1">
      <c r="B4" s="1463" t="s">
        <v>286</v>
      </c>
      <c r="C4" s="1464"/>
      <c r="D4" s="1465"/>
      <c r="F4" s="1466" t="s">
        <v>783</v>
      </c>
      <c r="G4" s="1464"/>
      <c r="H4" s="1465"/>
      <c r="J4" s="1463" t="s">
        <v>286</v>
      </c>
      <c r="K4" s="1464"/>
      <c r="L4" s="1465"/>
      <c r="M4"/>
      <c r="N4"/>
      <c r="O4" s="1463" t="s">
        <v>286</v>
      </c>
      <c r="P4" s="1464"/>
      <c r="Q4" s="1465"/>
    </row>
    <row r="5" spans="2:17" ht="12.75">
      <c r="B5" s="11"/>
      <c r="C5" s="12" t="s">
        <v>543</v>
      </c>
      <c r="D5" s="40" t="s">
        <v>101</v>
      </c>
      <c r="F5" s="11"/>
      <c r="G5" s="12" t="s">
        <v>543</v>
      </c>
      <c r="H5" s="40" t="s">
        <v>101</v>
      </c>
      <c r="J5" s="11"/>
      <c r="K5" s="12" t="s">
        <v>543</v>
      </c>
      <c r="L5" s="40" t="s">
        <v>101</v>
      </c>
      <c r="M5"/>
      <c r="N5"/>
      <c r="O5" s="11"/>
      <c r="P5" s="12" t="s">
        <v>543</v>
      </c>
      <c r="Q5" s="40" t="s">
        <v>101</v>
      </c>
    </row>
    <row r="6" spans="2:17" ht="12.75">
      <c r="B6" s="6" t="s">
        <v>804</v>
      </c>
      <c r="C6" s="72">
        <f>SUM(I20:I39)</f>
        <v>1763568.7248</v>
      </c>
      <c r="D6" s="15">
        <f>C6/$C$10</f>
        <v>0.4330018323211816</v>
      </c>
      <c r="F6" s="6" t="s">
        <v>804</v>
      </c>
      <c r="G6" s="72">
        <f>SUM(I20:I39)</f>
        <v>1763568.7248</v>
      </c>
      <c r="H6" s="826">
        <f>G6/$G$11</f>
        <v>0.4330018323211816</v>
      </c>
      <c r="J6" s="6" t="s">
        <v>804</v>
      </c>
      <c r="K6" s="72">
        <f>SUM(I20:I39)-I21-I30</f>
        <v>1109148.0648</v>
      </c>
      <c r="L6" s="15">
        <f>K6/$K$11</f>
        <v>0.324457537992324</v>
      </c>
      <c r="M6"/>
      <c r="N6"/>
      <c r="O6" s="6" t="s">
        <v>804</v>
      </c>
      <c r="P6" s="72">
        <f>(SUM(I20:I39)-I21-I30)*0.5</f>
        <v>554574.0324</v>
      </c>
      <c r="Q6" s="15">
        <f>P6/P$11</f>
        <v>0.19364327992234293</v>
      </c>
    </row>
    <row r="7" spans="2:17" ht="12.75">
      <c r="B7" s="6" t="s">
        <v>803</v>
      </c>
      <c r="C7" s="73">
        <f>SUM(I42:I79)+SUM(I158:I163)+SUM(I153:I154)</f>
        <v>1410703.782</v>
      </c>
      <c r="D7" s="14">
        <f>C7/$C$10</f>
        <v>0.3463643428682903</v>
      </c>
      <c r="F7" s="6" t="s">
        <v>62</v>
      </c>
      <c r="G7" s="73">
        <f>SUM(I62:I63)+SUM(I69:I70)+SUM(I75:I78)</f>
        <v>277374.22</v>
      </c>
      <c r="H7" s="827">
        <f>G7/$G$11</f>
        <v>0.06810256034239837</v>
      </c>
      <c r="J7" s="6" t="s">
        <v>62</v>
      </c>
      <c r="K7" s="73">
        <f>SUM(I59:I72)+SUM(I75:I78)</f>
        <v>359933.93</v>
      </c>
      <c r="L7" s="14">
        <f>K7/$K$11</f>
        <v>0.10529097103799183</v>
      </c>
      <c r="M7"/>
      <c r="N7"/>
      <c r="O7" s="6" t="s">
        <v>62</v>
      </c>
      <c r="P7" s="73">
        <f>SUM(I59:I72)+SUM(I75:I78)</f>
        <v>359933.93</v>
      </c>
      <c r="Q7" s="14">
        <f>P7/P$11</f>
        <v>0.12567986001599699</v>
      </c>
    </row>
    <row r="8" spans="2:17" ht="12.75">
      <c r="B8" s="6" t="s">
        <v>809</v>
      </c>
      <c r="C8" s="73">
        <f>SUM(I81:I120)+SUM(I149:I150)</f>
        <v>323753.89368</v>
      </c>
      <c r="D8" s="14">
        <f>C8/$C$10</f>
        <v>0.07948997235730351</v>
      </c>
      <c r="F8" s="6" t="s">
        <v>803</v>
      </c>
      <c r="G8" s="73">
        <f>SUM(I42:I56)+SUM(I59:I61)+SUM(I64:I68)+SUM(I71:I72)+SUM(I158:I163)+SUM(I153:I154)</f>
        <v>1133329.562</v>
      </c>
      <c r="H8" s="827">
        <f>G8/$G$11</f>
        <v>0.27826178252589195</v>
      </c>
      <c r="J8" s="6" t="s">
        <v>803</v>
      </c>
      <c r="K8" s="73">
        <f>SUM(I42:I56)+SUM(I158:I163)+SUM(I153:I154)</f>
        <v>1050769.852</v>
      </c>
      <c r="L8" s="14">
        <f>K8/$K$11</f>
        <v>0.3073802407417577</v>
      </c>
      <c r="M8"/>
      <c r="N8"/>
      <c r="O8" s="6" t="s">
        <v>803</v>
      </c>
      <c r="P8" s="73">
        <f>SUM(I42:I56)+SUM(I158:I163)+SUM(I153:I154)</f>
        <v>1050769.852</v>
      </c>
      <c r="Q8" s="14">
        <f>P8/P$11</f>
        <v>0.36690235874231103</v>
      </c>
    </row>
    <row r="9" spans="2:17" ht="12.75">
      <c r="B9" s="7" t="s">
        <v>211</v>
      </c>
      <c r="C9" s="74">
        <f>SUM(I121:I146)</f>
        <v>574863.3500000001</v>
      </c>
      <c r="D9" s="16">
        <f>C9/$C$10</f>
        <v>0.14114385245322467</v>
      </c>
      <c r="E9" s="30" t="s">
        <v>302</v>
      </c>
      <c r="F9" s="6" t="s">
        <v>809</v>
      </c>
      <c r="G9" s="73">
        <f>SUM(I81:I120)+SUM(I149:I150)</f>
        <v>323753.89368</v>
      </c>
      <c r="H9" s="827">
        <f>G9/$G$11</f>
        <v>0.07948997235730351</v>
      </c>
      <c r="I9" s="30"/>
      <c r="J9" s="6" t="s">
        <v>809</v>
      </c>
      <c r="K9" s="73">
        <f>SUM(I81:I120)+SUM(I149:I150)</f>
        <v>323753.89368</v>
      </c>
      <c r="L9" s="14">
        <f>K9/$K$11</f>
        <v>0.09470727542384784</v>
      </c>
      <c r="M9"/>
      <c r="N9"/>
      <c r="O9" s="6" t="s">
        <v>809</v>
      </c>
      <c r="P9" s="73">
        <f>SUM(I81:I120)+SUM(I149:I150)</f>
        <v>323753.89368</v>
      </c>
      <c r="Q9" s="14">
        <f>P9/P$11</f>
        <v>0.11304670286943042</v>
      </c>
    </row>
    <row r="10" spans="2:18" ht="12.75">
      <c r="B10" s="71" t="s">
        <v>810</v>
      </c>
      <c r="C10" s="75">
        <f>SUM(C6:C9)</f>
        <v>4072889.7504799995</v>
      </c>
      <c r="D10" s="76">
        <f>SUM(D6:D9)</f>
        <v>1</v>
      </c>
      <c r="E10" t="str">
        <f>IF(C10=$I$164,"OK","error")</f>
        <v>OK</v>
      </c>
      <c r="F10" s="7" t="s">
        <v>211</v>
      </c>
      <c r="G10" s="74">
        <f>SUM(I121:I146)</f>
        <v>574863.3500000001</v>
      </c>
      <c r="H10" s="828">
        <f>G10/$G$11</f>
        <v>0.14114385245322467</v>
      </c>
      <c r="I10" s="30" t="s">
        <v>302</v>
      </c>
      <c r="J10" s="7" t="s">
        <v>211</v>
      </c>
      <c r="K10" s="74">
        <f>SUM(I121:I146)</f>
        <v>574863.3500000001</v>
      </c>
      <c r="L10" s="16">
        <f>K10/$K$11</f>
        <v>0.16816397480407855</v>
      </c>
      <c r="M10" s="30" t="s">
        <v>302</v>
      </c>
      <c r="N10"/>
      <c r="O10" s="7" t="s">
        <v>211</v>
      </c>
      <c r="P10" s="74">
        <f>SUM(I121:I146)</f>
        <v>574863.3500000001</v>
      </c>
      <c r="Q10" s="16">
        <f>P10/P$11</f>
        <v>0.20072779844991856</v>
      </c>
      <c r="R10" s="30" t="s">
        <v>302</v>
      </c>
    </row>
    <row r="11" spans="2:18" ht="12.75">
      <c r="B11" s="77"/>
      <c r="C11" s="69"/>
      <c r="D11" s="70"/>
      <c r="F11" s="71" t="s">
        <v>810</v>
      </c>
      <c r="G11" s="75">
        <f>SUM(G6:G10)</f>
        <v>4072889.7504799995</v>
      </c>
      <c r="H11" s="76">
        <f>SUM(H6:H10)</f>
        <v>1</v>
      </c>
      <c r="I11" t="str">
        <f>IF(G11=$I$164,"OK","error")</f>
        <v>OK</v>
      </c>
      <c r="J11" s="71" t="s">
        <v>810</v>
      </c>
      <c r="K11" s="75">
        <f>SUM(K6:K10)</f>
        <v>3418469.0904800002</v>
      </c>
      <c r="L11" s="76">
        <f>SUM(L6:L10)</f>
        <v>0.9999999999999999</v>
      </c>
      <c r="M11" t="str">
        <f>IF(K11=($I$164-I21-I30),"OK","error")</f>
        <v>OK</v>
      </c>
      <c r="N11"/>
      <c r="O11" s="71" t="s">
        <v>810</v>
      </c>
      <c r="P11" s="75">
        <f>SUM(P6:P10)</f>
        <v>2863895.0580800003</v>
      </c>
      <c r="Q11" s="16">
        <f>SUM(Q6:Q10)</f>
        <v>1</v>
      </c>
      <c r="R11" t="str">
        <f>IF(P11=($I$164-I21-I30-(SUM(I20:I39)-I21-I30)*0.5),"OK","error")</f>
        <v>OK</v>
      </c>
    </row>
    <row r="12" spans="2:15" ht="12.75">
      <c r="B12" s="77"/>
      <c r="C12" s="69"/>
      <c r="D12" s="70"/>
      <c r="J12"/>
      <c r="K12"/>
      <c r="L12"/>
      <c r="M12"/>
      <c r="N12"/>
      <c r="O12"/>
    </row>
    <row r="13" spans="2:15" ht="12.75">
      <c r="B13" s="8"/>
      <c r="C13" s="69"/>
      <c r="D13" s="70"/>
      <c r="J13"/>
      <c r="K13"/>
      <c r="L13"/>
      <c r="M13"/>
      <c r="N13"/>
      <c r="O13"/>
    </row>
    <row r="14" s="3" customFormat="1" ht="12" customHeight="1">
      <c r="A14" s="10" t="s">
        <v>397</v>
      </c>
    </row>
    <row r="16" spans="1:15" s="31" customFormat="1" ht="25.5">
      <c r="A16" s="42"/>
      <c r="B16" s="32"/>
      <c r="C16" s="43" t="s">
        <v>324</v>
      </c>
      <c r="D16" s="42" t="s">
        <v>560</v>
      </c>
      <c r="E16" s="44" t="s">
        <v>518</v>
      </c>
      <c r="F16" s="44"/>
      <c r="G16" s="44" t="s">
        <v>398</v>
      </c>
      <c r="H16" s="44" t="s">
        <v>387</v>
      </c>
      <c r="I16" s="44" t="s">
        <v>164</v>
      </c>
      <c r="J16" s="52"/>
      <c r="K16" s="47"/>
      <c r="L16" s="47"/>
      <c r="M16" s="47"/>
      <c r="N16" s="53"/>
      <c r="O16" s="54"/>
    </row>
    <row r="17" spans="1:15" ht="51">
      <c r="A17" s="5"/>
      <c r="B17" s="21"/>
      <c r="C17" s="33"/>
      <c r="D17" s="5"/>
      <c r="E17" s="41" t="s">
        <v>265</v>
      </c>
      <c r="F17" s="41" t="s">
        <v>777</v>
      </c>
      <c r="G17" s="41" t="s">
        <v>148</v>
      </c>
      <c r="H17" s="41" t="s">
        <v>517</v>
      </c>
      <c r="I17" s="68" t="s">
        <v>527</v>
      </c>
      <c r="J17" s="47"/>
      <c r="K17" s="47"/>
      <c r="L17" s="47"/>
      <c r="M17" s="47"/>
      <c r="N17" s="47"/>
      <c r="O17" s="55"/>
    </row>
    <row r="18" spans="1:15" ht="12.75">
      <c r="A18" s="5" t="s">
        <v>174</v>
      </c>
      <c r="B18" s="21"/>
      <c r="C18" s="33"/>
      <c r="D18" s="5"/>
      <c r="E18" s="5"/>
      <c r="F18" s="33"/>
      <c r="G18" s="33"/>
      <c r="H18" s="33"/>
      <c r="I18" s="33"/>
      <c r="J18" s="56"/>
      <c r="K18" s="48"/>
      <c r="L18" s="48"/>
      <c r="M18" s="49"/>
      <c r="N18" s="57"/>
      <c r="O18" s="58"/>
    </row>
    <row r="19" spans="1:15" ht="12.75">
      <c r="A19" s="39"/>
      <c r="B19" s="34" t="s">
        <v>789</v>
      </c>
      <c r="C19" s="35"/>
      <c r="D19" s="39"/>
      <c r="E19" s="39"/>
      <c r="F19" s="35"/>
      <c r="G19" s="35"/>
      <c r="H19" s="35"/>
      <c r="I19" s="35"/>
      <c r="J19" s="56"/>
      <c r="K19" s="49"/>
      <c r="L19" s="50"/>
      <c r="M19" s="49"/>
      <c r="N19" s="56"/>
      <c r="O19" s="59"/>
    </row>
    <row r="20" spans="1:15" ht="12.75">
      <c r="A20" s="39"/>
      <c r="B20" s="34"/>
      <c r="C20" s="35" t="s">
        <v>175</v>
      </c>
      <c r="D20" s="39" t="s">
        <v>718</v>
      </c>
      <c r="E20" s="6">
        <f>IF(ISNUMBER('FBPQ C2'!J12),'FBPQ C2'!J12,IF(ISNUMBER('FBPQ C2'!I12),'FBPQ C2'!I12,""))</f>
        <v>19.99</v>
      </c>
      <c r="F20" s="45" t="s">
        <v>782</v>
      </c>
      <c r="G20" s="45">
        <f aca="true" t="shared" si="0" ref="G20:G51">IF(ISNUMBER(E20),E20,IF(H20&gt;0,F20," "))</f>
        <v>19.99</v>
      </c>
      <c r="H20" s="35">
        <f>IF(ISBLANK('FBPQ T4'!E12)," ",'FBPQ T4'!AE12)</f>
        <v>3192</v>
      </c>
      <c r="I20" s="35">
        <f>IF(ISERROR(G20*H20)," ",G20*H20)</f>
        <v>63808.079999999994</v>
      </c>
      <c r="J20" s="49"/>
      <c r="K20" s="49"/>
      <c r="L20" s="49"/>
      <c r="M20" s="49"/>
      <c r="N20" s="60"/>
      <c r="O20" s="59"/>
    </row>
    <row r="21" spans="1:15" ht="12.75">
      <c r="A21" s="39"/>
      <c r="B21" s="34"/>
      <c r="C21" s="35" t="s">
        <v>176</v>
      </c>
      <c r="D21" s="39" t="s">
        <v>429</v>
      </c>
      <c r="E21" s="6">
        <f>IF(ISNUMBER('FBPQ C2'!J13),'FBPQ C2'!J13,IF(ISNUMBER('FBPQ C2'!I13),'FBPQ C2'!I13,""))</f>
        <v>0.32</v>
      </c>
      <c r="F21" s="45" t="s">
        <v>782</v>
      </c>
      <c r="G21" s="45">
        <f t="shared" si="0"/>
        <v>0.32</v>
      </c>
      <c r="H21" s="35">
        <f>IF(ISBLANK('FBPQ T4'!E13)," ",'FBPQ T4'!AE13)</f>
        <v>317000</v>
      </c>
      <c r="I21" s="35">
        <f aca="true" t="shared" si="1" ref="I21:I84">IF(ISERROR(G21*H21)," ",G21*H21)</f>
        <v>101440</v>
      </c>
      <c r="J21" s="49"/>
      <c r="K21" s="49"/>
      <c r="L21" s="49"/>
      <c r="M21" s="49"/>
      <c r="N21" s="60"/>
      <c r="O21" s="61"/>
    </row>
    <row r="22" spans="1:15" ht="12.75">
      <c r="A22" s="39"/>
      <c r="B22" s="34"/>
      <c r="C22" s="35"/>
      <c r="D22" s="39"/>
      <c r="E22" s="6">
        <f>IF(ISNUMBER('FBPQ C2'!J14),'FBPQ C2'!J14,IF(ISNUMBER('FBPQ C2'!I14),'FBPQ C2'!I14,""))</f>
      </c>
      <c r="F22" s="45"/>
      <c r="G22" s="45">
        <f t="shared" si="0"/>
        <v>0</v>
      </c>
      <c r="H22" s="35" t="str">
        <f>IF(ISBLANK('FBPQ T4'!E14)," ",'FBPQ T4'!AE14)</f>
        <v> </v>
      </c>
      <c r="I22" s="35" t="str">
        <f t="shared" si="1"/>
        <v> </v>
      </c>
      <c r="J22" s="49"/>
      <c r="K22" s="49"/>
      <c r="L22" s="49"/>
      <c r="M22" s="49"/>
      <c r="N22" s="60"/>
      <c r="O22" s="61"/>
    </row>
    <row r="23" spans="1:15" ht="12.75">
      <c r="A23" s="39"/>
      <c r="B23" s="34" t="s">
        <v>430</v>
      </c>
      <c r="C23" s="35"/>
      <c r="D23" s="39"/>
      <c r="E23" s="6">
        <f>IF(ISNUMBER('FBPQ C2'!J15),'FBPQ C2'!J15,IF(ISNUMBER('FBPQ C2'!I15),'FBPQ C2'!I15,""))</f>
      </c>
      <c r="F23" s="45"/>
      <c r="G23" s="45">
        <f t="shared" si="0"/>
        <v>0</v>
      </c>
      <c r="H23" s="35" t="str">
        <f>IF(ISBLANK('FBPQ T4'!E15)," ",'FBPQ T4'!AE15)</f>
        <v> </v>
      </c>
      <c r="I23" s="35" t="str">
        <f t="shared" si="1"/>
        <v> </v>
      </c>
      <c r="J23" s="49"/>
      <c r="K23" s="49"/>
      <c r="L23" s="50"/>
      <c r="M23" s="49"/>
      <c r="N23" s="60"/>
      <c r="O23" s="59"/>
    </row>
    <row r="24" spans="1:15" ht="12.75">
      <c r="A24" s="39"/>
      <c r="B24" s="34"/>
      <c r="C24" s="35" t="s">
        <v>431</v>
      </c>
      <c r="D24" s="39" t="s">
        <v>429</v>
      </c>
      <c r="E24" s="6">
        <f>IF(ISNUMBER('FBPQ C2'!J16),'FBPQ C2'!J16,IF(ISNUMBER('FBPQ C2'!I16),'FBPQ C2'!I16,""))</f>
        <v>1.92</v>
      </c>
      <c r="F24" s="45" t="s">
        <v>782</v>
      </c>
      <c r="G24" s="45">
        <f t="shared" si="0"/>
        <v>1.92</v>
      </c>
      <c r="H24" s="35">
        <f>IF(ISBLANK('FBPQ T4'!E16)," ",'FBPQ T4'!AE16)</f>
        <v>97546</v>
      </c>
      <c r="I24" s="35">
        <f t="shared" si="1"/>
        <v>187288.32</v>
      </c>
      <c r="J24" s="49"/>
      <c r="K24" s="49"/>
      <c r="L24" s="49"/>
      <c r="M24" s="49"/>
      <c r="N24" s="60"/>
      <c r="O24" s="61"/>
    </row>
    <row r="25" spans="1:15" ht="12.75">
      <c r="A25" s="39"/>
      <c r="B25" s="34"/>
      <c r="C25" s="35"/>
      <c r="D25" s="39"/>
      <c r="E25" s="6">
        <f>IF(ISNUMBER('FBPQ C2'!J17),'FBPQ C2'!J17,IF(ISNUMBER('FBPQ C2'!I17),'FBPQ C2'!I17,""))</f>
      </c>
      <c r="F25" s="45"/>
      <c r="G25" s="45">
        <f t="shared" si="0"/>
        <v>0</v>
      </c>
      <c r="H25" s="35" t="str">
        <f>IF(ISBLANK('FBPQ T4'!E17)," ",'FBPQ T4'!AE17)</f>
        <v> </v>
      </c>
      <c r="I25" s="35" t="str">
        <f t="shared" si="1"/>
        <v> </v>
      </c>
      <c r="J25" s="49"/>
      <c r="K25" s="49"/>
      <c r="L25" s="49"/>
      <c r="M25" s="49"/>
      <c r="N25" s="60"/>
      <c r="O25" s="61"/>
    </row>
    <row r="26" spans="1:15" ht="12.75">
      <c r="A26" s="39"/>
      <c r="B26" s="34" t="s">
        <v>520</v>
      </c>
      <c r="C26" s="35"/>
      <c r="D26" s="39"/>
      <c r="E26" s="6">
        <f>IF(ISNUMBER('FBPQ C2'!J18),'FBPQ C2'!J18,IF(ISNUMBER('FBPQ C2'!I18),'FBPQ C2'!I18,""))</f>
      </c>
      <c r="F26" s="45"/>
      <c r="G26" s="45">
        <f t="shared" si="0"/>
        <v>0</v>
      </c>
      <c r="H26" s="35" t="str">
        <f>IF(ISBLANK('FBPQ T4'!E18)," ",'FBPQ T4'!AE18)</f>
        <v> </v>
      </c>
      <c r="I26" s="35" t="str">
        <f t="shared" si="1"/>
        <v> </v>
      </c>
      <c r="J26" s="49"/>
      <c r="K26" s="49"/>
      <c r="L26" s="50"/>
      <c r="M26" s="49"/>
      <c r="N26" s="60"/>
      <c r="O26" s="59"/>
    </row>
    <row r="27" spans="1:15" ht="12.75">
      <c r="A27" s="39"/>
      <c r="B27" s="34"/>
      <c r="C27" s="35" t="s">
        <v>459</v>
      </c>
      <c r="D27" s="39" t="s">
        <v>718</v>
      </c>
      <c r="E27" s="6">
        <f>IF(ISNUMBER('FBPQ C2'!J19),'FBPQ C2'!J19,IF(ISNUMBER('FBPQ C2'!I19),'FBPQ C2'!I19,""))</f>
      </c>
      <c r="F27" s="45" t="s">
        <v>782</v>
      </c>
      <c r="G27" s="45" t="str">
        <f t="shared" si="0"/>
        <v> </v>
      </c>
      <c r="H27" s="35">
        <f>IF(ISBLANK('FBPQ T4'!E19)," ",'FBPQ T4'!AE19)</f>
        <v>0</v>
      </c>
      <c r="I27" s="35" t="str">
        <f t="shared" si="1"/>
        <v> </v>
      </c>
      <c r="J27" s="49"/>
      <c r="K27" s="49"/>
      <c r="L27" s="50"/>
      <c r="M27" s="49"/>
      <c r="N27" s="60"/>
      <c r="O27" s="59"/>
    </row>
    <row r="28" spans="1:15" ht="12.75">
      <c r="A28" s="39"/>
      <c r="B28" s="34"/>
      <c r="C28" s="35" t="s">
        <v>317</v>
      </c>
      <c r="D28" s="39" t="s">
        <v>718</v>
      </c>
      <c r="E28" s="6">
        <f>IF(ISNUMBER('FBPQ C2'!J20),'FBPQ C2'!J20,IF(ISNUMBER('FBPQ C2'!I20),'FBPQ C2'!I20,""))</f>
        <v>67.22</v>
      </c>
      <c r="F28" s="45" t="s">
        <v>782</v>
      </c>
      <c r="G28" s="45">
        <f t="shared" si="0"/>
        <v>67.22</v>
      </c>
      <c r="H28" s="35">
        <f>IF(ISBLANK('FBPQ T4'!E20)," ",'FBPQ T4'!AE20)</f>
        <v>4772.09</v>
      </c>
      <c r="I28" s="35">
        <f t="shared" si="1"/>
        <v>320779.8898</v>
      </c>
      <c r="J28" s="49"/>
      <c r="K28" s="49"/>
      <c r="L28" s="50"/>
      <c r="M28" s="49"/>
      <c r="N28" s="60"/>
      <c r="O28" s="59"/>
    </row>
    <row r="29" spans="1:15" ht="12.75">
      <c r="A29" s="39"/>
      <c r="B29" s="34"/>
      <c r="C29" s="35" t="s">
        <v>318</v>
      </c>
      <c r="D29" s="39" t="s">
        <v>718</v>
      </c>
      <c r="E29" s="6">
        <f>IF(ISNUMBER('FBPQ C2'!J21),'FBPQ C2'!J21,IF(ISNUMBER('FBPQ C2'!I21),'FBPQ C2'!I21,""))</f>
        <v>75.91</v>
      </c>
      <c r="F29" s="45" t="s">
        <v>782</v>
      </c>
      <c r="G29" s="45">
        <f t="shared" si="0"/>
        <v>75.91</v>
      </c>
      <c r="H29" s="35">
        <f>IF(ISBLANK('FBPQ T4'!E21)," ",'FBPQ T4'!AE21)</f>
        <v>6194.5</v>
      </c>
      <c r="I29" s="35">
        <f t="shared" si="1"/>
        <v>470224.495</v>
      </c>
      <c r="J29" s="49"/>
      <c r="K29" s="49"/>
      <c r="L29" s="50"/>
      <c r="M29" s="49"/>
      <c r="N29" s="60"/>
      <c r="O29" s="59"/>
    </row>
    <row r="30" spans="1:15" ht="12.75">
      <c r="A30" s="39"/>
      <c r="B30" s="34"/>
      <c r="C30" s="35" t="s">
        <v>319</v>
      </c>
      <c r="D30" s="39" t="s">
        <v>429</v>
      </c>
      <c r="E30" s="6">
        <f>IF(ISNUMBER('FBPQ C2'!J22),'FBPQ C2'!J22,IF(ISNUMBER('FBPQ C2'!I22),'FBPQ C2'!I22,""))</f>
        <v>0.71</v>
      </c>
      <c r="F30" s="45" t="s">
        <v>782</v>
      </c>
      <c r="G30" s="45">
        <f t="shared" si="0"/>
        <v>0.71</v>
      </c>
      <c r="H30" s="35">
        <f>IF(ISBLANK('FBPQ T4'!E22)," ",'FBPQ T4'!AE22)</f>
        <v>778846</v>
      </c>
      <c r="I30" s="35">
        <f t="shared" si="1"/>
        <v>552980.6599999999</v>
      </c>
      <c r="J30" s="49"/>
      <c r="K30" s="49"/>
      <c r="L30" s="50"/>
      <c r="M30" s="49"/>
      <c r="N30" s="60"/>
      <c r="O30" s="61"/>
    </row>
    <row r="31" spans="1:15" ht="12.75">
      <c r="A31" s="39"/>
      <c r="B31" s="34"/>
      <c r="C31" s="35"/>
      <c r="D31" s="39"/>
      <c r="E31" s="6">
        <f>IF(ISNUMBER('FBPQ C2'!J23),'FBPQ C2'!J23,IF(ISNUMBER('FBPQ C2'!I23),'FBPQ C2'!I23,""))</f>
      </c>
      <c r="F31" s="45"/>
      <c r="G31" s="45">
        <f t="shared" si="0"/>
        <v>0</v>
      </c>
      <c r="H31" s="35" t="str">
        <f>IF(ISBLANK('FBPQ T4'!E23)," ",'FBPQ T4'!AE23)</f>
        <v> </v>
      </c>
      <c r="I31" s="35" t="str">
        <f t="shared" si="1"/>
        <v> </v>
      </c>
      <c r="J31" s="49"/>
      <c r="K31" s="49"/>
      <c r="L31" s="49"/>
      <c r="M31" s="49"/>
      <c r="N31" s="60"/>
      <c r="O31" s="61"/>
    </row>
    <row r="32" spans="1:15" ht="12.75">
      <c r="A32" s="39"/>
      <c r="B32" s="34" t="s">
        <v>320</v>
      </c>
      <c r="C32" s="35"/>
      <c r="D32" s="39"/>
      <c r="E32" s="6">
        <f>IF(ISNUMBER('FBPQ C2'!J24),'FBPQ C2'!J24,IF(ISNUMBER('FBPQ C2'!I24),'FBPQ C2'!I24,""))</f>
      </c>
      <c r="F32" s="45"/>
      <c r="G32" s="45">
        <f t="shared" si="0"/>
        <v>0</v>
      </c>
      <c r="H32" s="35" t="str">
        <f>IF(ISBLANK('FBPQ T4'!E24)," ",'FBPQ T4'!AE24)</f>
        <v> </v>
      </c>
      <c r="I32" s="35" t="str">
        <f t="shared" si="1"/>
        <v> </v>
      </c>
      <c r="J32" s="49"/>
      <c r="K32" s="49"/>
      <c r="L32" s="50"/>
      <c r="M32" s="49"/>
      <c r="N32" s="60"/>
      <c r="O32" s="59"/>
    </row>
    <row r="33" spans="1:15" ht="12.75">
      <c r="A33" s="39"/>
      <c r="B33" s="34"/>
      <c r="C33" s="35" t="s">
        <v>321</v>
      </c>
      <c r="D33" s="39" t="s">
        <v>429</v>
      </c>
      <c r="E33" s="6">
        <f>IF(ISNUMBER('FBPQ C2'!J25),'FBPQ C2'!J25,IF(ISNUMBER('FBPQ C2'!I25),'FBPQ C2'!I25,""))</f>
        <v>8.06</v>
      </c>
      <c r="F33" s="45" t="s">
        <v>782</v>
      </c>
      <c r="G33" s="45">
        <f t="shared" si="0"/>
        <v>8.06</v>
      </c>
      <c r="H33" s="35">
        <f>IF(ISBLANK('FBPQ T4'!E25)," ",'FBPQ T4'!AE25)</f>
        <v>4081</v>
      </c>
      <c r="I33" s="35">
        <f t="shared" si="1"/>
        <v>32892.86</v>
      </c>
      <c r="J33" s="307"/>
      <c r="K33" s="49"/>
      <c r="L33" s="50"/>
      <c r="M33" s="49"/>
      <c r="N33" s="60"/>
      <c r="O33" s="59"/>
    </row>
    <row r="34" spans="1:15" ht="12.75">
      <c r="A34" s="39"/>
      <c r="B34" s="34"/>
      <c r="C34" s="35" t="s">
        <v>322</v>
      </c>
      <c r="D34" s="39" t="s">
        <v>429</v>
      </c>
      <c r="E34" s="6">
        <f>IF(ISNUMBER('FBPQ C2'!J26),'FBPQ C2'!J26,IF(ISNUMBER('FBPQ C2'!I26),'FBPQ C2'!I26,""))</f>
        <v>8.47</v>
      </c>
      <c r="F34" s="45" t="s">
        <v>782</v>
      </c>
      <c r="G34" s="45">
        <f t="shared" si="0"/>
        <v>8.47</v>
      </c>
      <c r="H34" s="35">
        <f>IF(ISBLANK('FBPQ T4'!E26)," ",'FBPQ T4'!AE26)</f>
        <v>3785</v>
      </c>
      <c r="I34" s="35">
        <f t="shared" si="1"/>
        <v>32058.95</v>
      </c>
      <c r="J34" s="49"/>
      <c r="K34" s="49"/>
      <c r="L34" s="50"/>
      <c r="M34" s="49"/>
      <c r="N34" s="60"/>
      <c r="O34" s="59"/>
    </row>
    <row r="35" spans="1:15" ht="12.75">
      <c r="A35" s="39"/>
      <c r="B35" s="34"/>
      <c r="C35" s="35" t="s">
        <v>443</v>
      </c>
      <c r="D35" s="39" t="s">
        <v>429</v>
      </c>
      <c r="E35" s="6">
        <f>IF(ISNUMBER('FBPQ C2'!J27),'FBPQ C2'!J27,IF(ISNUMBER('FBPQ C2'!I27),'FBPQ C2'!I27,""))</f>
        <v>10.53</v>
      </c>
      <c r="F35" s="45" t="s">
        <v>782</v>
      </c>
      <c r="G35" s="45">
        <f t="shared" si="0"/>
        <v>10.53</v>
      </c>
      <c r="H35" s="35">
        <f>IF(ISBLANK('FBPQ T4'!E27)," ",'FBPQ T4'!AE27)</f>
        <v>199</v>
      </c>
      <c r="I35" s="35">
        <f t="shared" si="1"/>
        <v>2095.47</v>
      </c>
      <c r="J35" s="49"/>
      <c r="K35" s="49"/>
      <c r="L35" s="50"/>
      <c r="M35" s="49"/>
      <c r="N35" s="60"/>
      <c r="O35" s="59"/>
    </row>
    <row r="36" spans="1:15" ht="12.75">
      <c r="A36" s="39"/>
      <c r="B36" s="34"/>
      <c r="C36" s="35" t="s">
        <v>444</v>
      </c>
      <c r="D36" s="39" t="s">
        <v>429</v>
      </c>
      <c r="E36" s="6">
        <f>IF(ISNUMBER('FBPQ C2'!J28),'FBPQ C2'!J28,IF(ISNUMBER('FBPQ C2'!I28),'FBPQ C2'!I28,""))</f>
      </c>
      <c r="F36" s="45" t="s">
        <v>782</v>
      </c>
      <c r="G36" s="45" t="str">
        <f t="shared" si="0"/>
        <v>DATA</v>
      </c>
      <c r="H36" s="35">
        <f>IF(ISBLANK('FBPQ T4'!E28)," ",'FBPQ T4'!AE28)</f>
        <v>3645</v>
      </c>
      <c r="I36" s="35" t="str">
        <f t="shared" si="1"/>
        <v> </v>
      </c>
      <c r="J36" s="49"/>
      <c r="K36" s="49"/>
      <c r="L36" s="50"/>
      <c r="M36" s="49"/>
      <c r="N36" s="60"/>
      <c r="O36" s="62"/>
    </row>
    <row r="37" spans="1:15" ht="12.75">
      <c r="A37" s="39"/>
      <c r="B37" s="34"/>
      <c r="C37" s="35" t="s">
        <v>570</v>
      </c>
      <c r="D37" s="39" t="s">
        <v>429</v>
      </c>
      <c r="E37" s="6">
        <f>IF(ISNUMBER('FBPQ C2'!J29),'FBPQ C2'!J29,IF(ISNUMBER('FBPQ C2'!I29),'FBPQ C2'!I29,""))</f>
      </c>
      <c r="F37" s="45" t="s">
        <v>782</v>
      </c>
      <c r="G37" s="45" t="str">
        <f t="shared" si="0"/>
        <v>DATA</v>
      </c>
      <c r="H37" s="35">
        <f>IF(ISBLANK('FBPQ T4'!E29)," ",'FBPQ T4'!AE29)</f>
        <v>31376</v>
      </c>
      <c r="I37" s="35" t="str">
        <f t="shared" si="1"/>
        <v> </v>
      </c>
      <c r="J37" s="49"/>
      <c r="K37" s="49"/>
      <c r="L37" s="50"/>
      <c r="M37" s="49"/>
      <c r="N37" s="60"/>
      <c r="O37" s="62"/>
    </row>
    <row r="38" spans="1:15" ht="12.75">
      <c r="A38" s="39"/>
      <c r="B38" s="34"/>
      <c r="C38" s="35" t="s">
        <v>571</v>
      </c>
      <c r="D38" s="39" t="s">
        <v>429</v>
      </c>
      <c r="E38" s="6">
        <f>IF(ISNUMBER('FBPQ C2'!J30),'FBPQ C2'!J30,IF(ISNUMBER('FBPQ C2'!I30),'FBPQ C2'!I30,""))</f>
      </c>
      <c r="F38" s="45" t="s">
        <v>782</v>
      </c>
      <c r="G38" s="45" t="str">
        <f t="shared" si="0"/>
        <v>DATA</v>
      </c>
      <c r="H38" s="35">
        <f>IF(ISBLANK('FBPQ T4'!E30)," ",'FBPQ T4'!AE30)</f>
        <v>2653</v>
      </c>
      <c r="I38" s="35" t="str">
        <f t="shared" si="1"/>
        <v> </v>
      </c>
      <c r="J38" s="49"/>
      <c r="K38" s="49"/>
      <c r="L38" s="50"/>
      <c r="M38" s="49"/>
      <c r="N38" s="60"/>
      <c r="O38" s="61"/>
    </row>
    <row r="39" spans="1:15" ht="12.75">
      <c r="A39" s="39"/>
      <c r="B39" s="34"/>
      <c r="C39" s="35"/>
      <c r="D39" s="39"/>
      <c r="E39" s="6">
        <f>IF(ISNUMBER('FBPQ C2'!J31),'FBPQ C2'!J31,IF(ISNUMBER('FBPQ C2'!I31),'FBPQ C2'!I31,""))</f>
      </c>
      <c r="F39" s="45"/>
      <c r="G39" s="45">
        <f t="shared" si="0"/>
        <v>0</v>
      </c>
      <c r="H39" s="35" t="str">
        <f>IF(ISBLANK('FBPQ T4'!E31)," ",'FBPQ T4'!AE31)</f>
        <v> </v>
      </c>
      <c r="I39" s="35" t="str">
        <f t="shared" si="1"/>
        <v> </v>
      </c>
      <c r="J39" s="63"/>
      <c r="K39" s="63"/>
      <c r="L39" s="63"/>
      <c r="M39" s="63"/>
      <c r="N39" s="64"/>
      <c r="O39" s="61"/>
    </row>
    <row r="40" spans="1:15" ht="12.75">
      <c r="A40" s="39" t="s">
        <v>572</v>
      </c>
      <c r="B40" s="34"/>
      <c r="C40" s="35"/>
      <c r="D40" s="39"/>
      <c r="E40" s="6">
        <f>IF(ISNUMBER('FBPQ C2'!J32),'FBPQ C2'!J32,IF(ISNUMBER('FBPQ C2'!I32),'FBPQ C2'!I32,""))</f>
      </c>
      <c r="F40" s="45"/>
      <c r="G40" s="45">
        <f t="shared" si="0"/>
        <v>0</v>
      </c>
      <c r="H40" s="35" t="str">
        <f>IF(ISBLANK('FBPQ T4'!E32)," ",'FBPQ T4'!AE32)</f>
        <v> </v>
      </c>
      <c r="I40" s="35" t="str">
        <f t="shared" si="1"/>
        <v> </v>
      </c>
      <c r="J40" s="49"/>
      <c r="K40" s="48"/>
      <c r="L40" s="48"/>
      <c r="M40" s="65"/>
      <c r="N40" s="60"/>
      <c r="O40" s="61"/>
    </row>
    <row r="41" spans="1:15" ht="12.75">
      <c r="A41" s="39"/>
      <c r="B41" s="34" t="s">
        <v>789</v>
      </c>
      <c r="C41" s="35"/>
      <c r="D41" s="39"/>
      <c r="E41" s="6">
        <f>IF(ISNUMBER('FBPQ C2'!J33),'FBPQ C2'!J33,IF(ISNUMBER('FBPQ C2'!I33),'FBPQ C2'!I33,""))</f>
      </c>
      <c r="F41" s="45"/>
      <c r="G41" s="45">
        <f t="shared" si="0"/>
        <v>0</v>
      </c>
      <c r="H41" s="35" t="str">
        <f>IF(ISBLANK('FBPQ T4'!E33)," ",'FBPQ T4'!AE33)</f>
        <v> </v>
      </c>
      <c r="I41" s="35" t="str">
        <f t="shared" si="1"/>
        <v> </v>
      </c>
      <c r="J41" s="49"/>
      <c r="K41" s="49"/>
      <c r="L41" s="50"/>
      <c r="M41" s="49"/>
      <c r="N41" s="60"/>
      <c r="O41" s="59"/>
    </row>
    <row r="42" spans="1:15" ht="12.75">
      <c r="A42" s="39"/>
      <c r="B42" s="34"/>
      <c r="C42" s="35" t="s">
        <v>573</v>
      </c>
      <c r="D42" s="39" t="s">
        <v>718</v>
      </c>
      <c r="E42" s="6">
        <f>IF(ISNUMBER('FBPQ C2'!J34),'FBPQ C2'!J34,IF(ISNUMBER('FBPQ C2'!I34),'FBPQ C2'!I34,""))</f>
        <v>20.82</v>
      </c>
      <c r="F42" s="45" t="s">
        <v>782</v>
      </c>
      <c r="G42" s="45">
        <f t="shared" si="0"/>
        <v>20.82</v>
      </c>
      <c r="H42" s="35">
        <f>IF(ISBLANK('FBPQ T4'!E34)," ",'FBPQ T4'!AE34)</f>
        <v>12207</v>
      </c>
      <c r="I42" s="35">
        <f t="shared" si="1"/>
        <v>254149.74</v>
      </c>
      <c r="J42" s="49"/>
      <c r="K42" s="49"/>
      <c r="L42" s="50"/>
      <c r="M42" s="49"/>
      <c r="N42" s="60"/>
      <c r="O42" s="59"/>
    </row>
    <row r="43" spans="1:15" ht="12.75">
      <c r="A43" s="39"/>
      <c r="B43" s="34"/>
      <c r="C43" s="35" t="s">
        <v>574</v>
      </c>
      <c r="D43" s="39" t="s">
        <v>718</v>
      </c>
      <c r="E43" s="6">
        <f>IF(ISNUMBER('FBPQ C2'!J35),'FBPQ C2'!J35,IF(ISNUMBER('FBPQ C2'!I35),'FBPQ C2'!I35,""))</f>
      </c>
      <c r="F43" s="45" t="s">
        <v>782</v>
      </c>
      <c r="G43" s="45" t="str">
        <f t="shared" si="0"/>
        <v> </v>
      </c>
      <c r="H43" s="35">
        <f>IF(ISBLANK('FBPQ T4'!E35)," ",'FBPQ T4'!AE35)</f>
        <v>0</v>
      </c>
      <c r="I43" s="35" t="str">
        <f t="shared" si="1"/>
        <v> </v>
      </c>
      <c r="J43" s="49"/>
      <c r="K43" s="49"/>
      <c r="L43" s="50"/>
      <c r="M43" s="49"/>
      <c r="N43" s="60"/>
      <c r="O43" s="59"/>
    </row>
    <row r="44" spans="1:15" ht="12.75">
      <c r="A44" s="39"/>
      <c r="B44" s="34"/>
      <c r="C44" s="35" t="s">
        <v>575</v>
      </c>
      <c r="D44" s="39" t="s">
        <v>718</v>
      </c>
      <c r="E44" s="6">
        <f>IF(ISNUMBER('FBPQ C2'!J36),'FBPQ C2'!J36,IF(ISNUMBER('FBPQ C2'!I36),'FBPQ C2'!I36,""))</f>
      </c>
      <c r="F44" s="45" t="s">
        <v>782</v>
      </c>
      <c r="G44" s="45" t="str">
        <f t="shared" si="0"/>
        <v> </v>
      </c>
      <c r="H44" s="35">
        <f>IF(ISBLANK('FBPQ T4'!E36)," ",'FBPQ T4'!AE36)</f>
        <v>0</v>
      </c>
      <c r="I44" s="35" t="str">
        <f t="shared" si="1"/>
        <v> </v>
      </c>
      <c r="J44" s="49"/>
      <c r="K44" s="49"/>
      <c r="L44" s="49"/>
      <c r="M44" s="49"/>
      <c r="N44" s="60"/>
      <c r="O44" s="59"/>
    </row>
    <row r="45" spans="1:15" ht="12.75">
      <c r="A45" s="39"/>
      <c r="B45" s="34"/>
      <c r="C45" s="35" t="s">
        <v>332</v>
      </c>
      <c r="D45" s="39" t="s">
        <v>718</v>
      </c>
      <c r="E45" s="6">
        <f>IF(ISNUMBER('FBPQ C2'!J37),'FBPQ C2'!J37,IF(ISNUMBER('FBPQ C2'!I37),'FBPQ C2'!I37,""))</f>
      </c>
      <c r="F45" s="45" t="s">
        <v>782</v>
      </c>
      <c r="G45" s="45" t="str">
        <f t="shared" si="0"/>
        <v> </v>
      </c>
      <c r="H45" s="35">
        <f>IF(ISBLANK('FBPQ T4'!E37)," ",'FBPQ T4'!AE37)</f>
        <v>0</v>
      </c>
      <c r="I45" s="35" t="str">
        <f t="shared" si="1"/>
        <v> </v>
      </c>
      <c r="J45" s="49"/>
      <c r="K45" s="49"/>
      <c r="L45" s="49"/>
      <c r="M45" s="49"/>
      <c r="N45" s="60"/>
      <c r="O45" s="61"/>
    </row>
    <row r="46" spans="1:15" ht="12.75">
      <c r="A46" s="39"/>
      <c r="B46" s="34"/>
      <c r="C46" s="35"/>
      <c r="D46" s="39"/>
      <c r="E46" s="6">
        <f>IF(ISNUMBER('FBPQ C2'!J38),'FBPQ C2'!J38,IF(ISNUMBER('FBPQ C2'!I38),'FBPQ C2'!I38,""))</f>
      </c>
      <c r="F46" s="45"/>
      <c r="G46" s="45">
        <f t="shared" si="0"/>
        <v>0</v>
      </c>
      <c r="H46" s="35" t="str">
        <f>IF(ISBLANK('FBPQ T4'!E38)," ",'FBPQ T4'!AE38)</f>
        <v> </v>
      </c>
      <c r="I46" s="35" t="str">
        <f t="shared" si="1"/>
        <v> </v>
      </c>
      <c r="J46" s="49"/>
      <c r="K46" s="49"/>
      <c r="L46" s="49"/>
      <c r="M46" s="49"/>
      <c r="N46" s="60"/>
      <c r="O46" s="61"/>
    </row>
    <row r="47" spans="1:15" ht="12.75">
      <c r="A47" s="39"/>
      <c r="B47" s="34" t="s">
        <v>430</v>
      </c>
      <c r="C47" s="35"/>
      <c r="D47" s="39"/>
      <c r="E47" s="6">
        <f>IF(ISNUMBER('FBPQ C2'!J39),'FBPQ C2'!J39,IF(ISNUMBER('FBPQ C2'!I39),'FBPQ C2'!I39,""))</f>
      </c>
      <c r="F47" s="45"/>
      <c r="G47" s="45">
        <f t="shared" si="0"/>
        <v>0</v>
      </c>
      <c r="H47" s="35" t="str">
        <f>IF(ISBLANK('FBPQ T4'!E39)," ",'FBPQ T4'!AE39)</f>
        <v> </v>
      </c>
      <c r="I47" s="35" t="str">
        <f t="shared" si="1"/>
        <v> </v>
      </c>
      <c r="J47" s="49"/>
      <c r="K47" s="49"/>
      <c r="L47" s="50"/>
      <c r="M47" s="49"/>
      <c r="N47" s="60"/>
      <c r="O47" s="59"/>
    </row>
    <row r="48" spans="1:15" ht="12.75">
      <c r="A48" s="39"/>
      <c r="B48" s="34"/>
      <c r="C48" s="35" t="s">
        <v>453</v>
      </c>
      <c r="D48" s="39" t="s">
        <v>429</v>
      </c>
      <c r="E48" s="6">
        <f>IF(ISNUMBER('FBPQ C2'!J40),'FBPQ C2'!J40,IF(ISNUMBER('FBPQ C2'!I40),'FBPQ C2'!I40,""))</f>
        <v>2.05</v>
      </c>
      <c r="F48" s="45" t="s">
        <v>782</v>
      </c>
      <c r="G48" s="45">
        <f t="shared" si="0"/>
        <v>2.05</v>
      </c>
      <c r="H48" s="35">
        <f>IF(ISBLANK('FBPQ T4'!E40)," ",'FBPQ T4'!AE40)</f>
        <v>162533</v>
      </c>
      <c r="I48" s="35">
        <f t="shared" si="1"/>
        <v>333192.64999999997</v>
      </c>
      <c r="J48" s="49"/>
      <c r="K48" s="49"/>
      <c r="L48" s="65"/>
      <c r="M48" s="49"/>
      <c r="N48" s="60"/>
      <c r="O48" s="59"/>
    </row>
    <row r="49" spans="1:15" ht="12.75">
      <c r="A49" s="39"/>
      <c r="B49" s="34"/>
      <c r="C49" s="35" t="s">
        <v>454</v>
      </c>
      <c r="D49" s="39" t="s">
        <v>429</v>
      </c>
      <c r="E49" s="6">
        <f>IF(ISNUMBER('FBPQ C2'!J41),'FBPQ C2'!J41,IF(ISNUMBER('FBPQ C2'!I41),'FBPQ C2'!I41,""))</f>
      </c>
      <c r="F49" s="45" t="s">
        <v>782</v>
      </c>
      <c r="G49" s="45" t="str">
        <f t="shared" si="0"/>
        <v> </v>
      </c>
      <c r="H49" s="35">
        <f>IF(ISBLANK('FBPQ T4'!E41)," ",'FBPQ T4'!AE41)</f>
        <v>0</v>
      </c>
      <c r="I49" s="35" t="str">
        <f t="shared" si="1"/>
        <v> </v>
      </c>
      <c r="J49" s="49"/>
      <c r="K49" s="49"/>
      <c r="L49" s="50"/>
      <c r="M49" s="49"/>
      <c r="N49" s="60"/>
      <c r="O49" s="61"/>
    </row>
    <row r="50" spans="1:15" ht="12.75">
      <c r="A50" s="39"/>
      <c r="B50" s="34"/>
      <c r="C50" s="35"/>
      <c r="D50" s="39"/>
      <c r="E50" s="6">
        <f>IF(ISNUMBER('FBPQ C2'!J42),'FBPQ C2'!J42,IF(ISNUMBER('FBPQ C2'!I42),'FBPQ C2'!I42,""))</f>
      </c>
      <c r="F50" s="45" t="s">
        <v>782</v>
      </c>
      <c r="G50" s="45" t="str">
        <f t="shared" si="0"/>
        <v>DATA</v>
      </c>
      <c r="H50" s="35" t="str">
        <f>IF(ISBLANK('FBPQ T4'!E42)," ",'FBPQ T4'!AE42)</f>
        <v> </v>
      </c>
      <c r="I50" s="35" t="str">
        <f t="shared" si="1"/>
        <v> </v>
      </c>
      <c r="J50" s="49"/>
      <c r="K50" s="49"/>
      <c r="L50" s="49"/>
      <c r="M50" s="49"/>
      <c r="N50" s="60"/>
      <c r="O50" s="61"/>
    </row>
    <row r="51" spans="1:15" ht="12.75">
      <c r="A51" s="39"/>
      <c r="B51" s="34" t="s">
        <v>455</v>
      </c>
      <c r="C51" s="35"/>
      <c r="D51" s="39"/>
      <c r="E51" s="6">
        <f>IF(ISNUMBER('FBPQ C2'!J43),'FBPQ C2'!J43,IF(ISNUMBER('FBPQ C2'!I43),'FBPQ C2'!I43,""))</f>
      </c>
      <c r="F51" s="45"/>
      <c r="G51" s="45">
        <f t="shared" si="0"/>
        <v>0</v>
      </c>
      <c r="H51" s="35" t="str">
        <f>IF(ISBLANK('FBPQ T4'!E43)," ",'FBPQ T4'!AE43)</f>
        <v> </v>
      </c>
      <c r="I51" s="35" t="str">
        <f t="shared" si="1"/>
        <v> </v>
      </c>
      <c r="J51" s="49"/>
      <c r="K51" s="49"/>
      <c r="L51" s="50"/>
      <c r="M51" s="49"/>
      <c r="N51" s="60"/>
      <c r="O51" s="59"/>
    </row>
    <row r="52" spans="1:15" ht="12.75">
      <c r="A52" s="39"/>
      <c r="B52" s="34"/>
      <c r="C52" s="35" t="s">
        <v>456</v>
      </c>
      <c r="D52" s="39" t="s">
        <v>718</v>
      </c>
      <c r="E52" s="6">
        <f>IF(ISNUMBER('FBPQ C2'!J44),'FBPQ C2'!J44,IF(ISNUMBER('FBPQ C2'!I44),'FBPQ C2'!I44,""))</f>
        <v>84.36</v>
      </c>
      <c r="F52" s="45" t="s">
        <v>782</v>
      </c>
      <c r="G52" s="45">
        <f aca="true" t="shared" si="2" ref="G52:G83">IF(ISNUMBER(E52),E52,IF(H52&gt;0,F52," "))</f>
        <v>84.36</v>
      </c>
      <c r="H52" s="35">
        <f>IF(ISBLANK('FBPQ T4'!E44)," ",'FBPQ T4'!AE44)</f>
        <v>5461.7</v>
      </c>
      <c r="I52" s="35">
        <f t="shared" si="1"/>
        <v>460749.012</v>
      </c>
      <c r="J52" s="49"/>
      <c r="K52" s="49"/>
      <c r="L52" s="50"/>
      <c r="M52" s="49"/>
      <c r="N52" s="60"/>
      <c r="O52" s="59"/>
    </row>
    <row r="53" spans="1:15" ht="12.75">
      <c r="A53" s="39"/>
      <c r="B53" s="34"/>
      <c r="C53" s="35" t="s">
        <v>457</v>
      </c>
      <c r="D53" s="39" t="s">
        <v>718</v>
      </c>
      <c r="E53" s="6">
        <f>IF(ISNUMBER('FBPQ C2'!J45),'FBPQ C2'!J45,IF(ISNUMBER('FBPQ C2'!I45),'FBPQ C2'!I45,""))</f>
      </c>
      <c r="F53" s="45" t="s">
        <v>782</v>
      </c>
      <c r="G53" s="45" t="str">
        <f t="shared" si="2"/>
        <v> </v>
      </c>
      <c r="H53" s="35">
        <f>IF(ISBLANK('FBPQ T4'!E45)," ",'FBPQ T4'!AE45)</f>
        <v>0</v>
      </c>
      <c r="I53" s="35" t="str">
        <f t="shared" si="1"/>
        <v> </v>
      </c>
      <c r="J53" s="49"/>
      <c r="K53" s="49"/>
      <c r="L53" s="50"/>
      <c r="M53" s="49"/>
      <c r="N53" s="60"/>
      <c r="O53" s="61"/>
    </row>
    <row r="54" spans="1:15" ht="12.75">
      <c r="A54" s="39"/>
      <c r="B54" s="34"/>
      <c r="C54" s="35"/>
      <c r="D54" s="39"/>
      <c r="E54" s="6">
        <f>IF(ISNUMBER('FBPQ C2'!J46),'FBPQ C2'!J46,IF(ISNUMBER('FBPQ C2'!I46),'FBPQ C2'!I46,""))</f>
      </c>
      <c r="F54" s="45"/>
      <c r="G54" s="45">
        <f t="shared" si="2"/>
        <v>0</v>
      </c>
      <c r="H54" s="35" t="str">
        <f>IF(ISBLANK('FBPQ T4'!E46)," ",'FBPQ T4'!AE46)</f>
        <v> </v>
      </c>
      <c r="I54" s="35" t="str">
        <f t="shared" si="1"/>
        <v> </v>
      </c>
      <c r="J54" s="49"/>
      <c r="K54" s="49"/>
      <c r="L54" s="50"/>
      <c r="M54" s="49"/>
      <c r="N54" s="60"/>
      <c r="O54" s="61"/>
    </row>
    <row r="55" spans="1:15" ht="12.75">
      <c r="A55" s="39"/>
      <c r="B55" s="34" t="s">
        <v>597</v>
      </c>
      <c r="C55" s="35"/>
      <c r="D55" s="39"/>
      <c r="E55" s="6">
        <f>IF(ISNUMBER('FBPQ C2'!J47),'FBPQ C2'!J47,IF(ISNUMBER('FBPQ C2'!I47),'FBPQ C2'!I47,""))</f>
      </c>
      <c r="F55" s="45"/>
      <c r="G55" s="45">
        <f t="shared" si="2"/>
        <v>0</v>
      </c>
      <c r="H55" s="35" t="str">
        <f>IF(ISBLANK('FBPQ T4'!E47)," ",'FBPQ T4'!AE47)</f>
        <v> </v>
      </c>
      <c r="I55" s="35" t="str">
        <f t="shared" si="1"/>
        <v> </v>
      </c>
      <c r="J55" s="49"/>
      <c r="K55" s="49"/>
      <c r="L55" s="50"/>
      <c r="M55" s="49"/>
      <c r="N55" s="60"/>
      <c r="O55" s="59"/>
    </row>
    <row r="56" spans="1:15" ht="12.75">
      <c r="A56" s="39"/>
      <c r="B56" s="34"/>
      <c r="C56" s="35" t="s">
        <v>598</v>
      </c>
      <c r="D56" s="39" t="s">
        <v>718</v>
      </c>
      <c r="E56" s="6">
        <f>IF(ISNUMBER('FBPQ C2'!J48),'FBPQ C2'!J48,IF(ISNUMBER('FBPQ C2'!I48),'FBPQ C2'!I48,""))</f>
        <v>535.69</v>
      </c>
      <c r="F56" s="45" t="s">
        <v>782</v>
      </c>
      <c r="G56" s="45">
        <f t="shared" si="2"/>
        <v>535.69</v>
      </c>
      <c r="H56" s="35">
        <f>IF(ISBLANK('FBPQ T4'!E48)," ",'FBPQ T4'!AE48)</f>
        <v>5</v>
      </c>
      <c r="I56" s="35">
        <f t="shared" si="1"/>
        <v>2678.4500000000003</v>
      </c>
      <c r="J56" s="49"/>
      <c r="K56" s="49"/>
      <c r="L56" s="50"/>
      <c r="M56" s="49"/>
      <c r="N56" s="60"/>
      <c r="O56" s="61"/>
    </row>
    <row r="57" spans="1:15" ht="12.75">
      <c r="A57" s="39"/>
      <c r="B57" s="34"/>
      <c r="C57" s="35"/>
      <c r="D57" s="39"/>
      <c r="E57" s="6">
        <f>IF(ISNUMBER('FBPQ C2'!J49),'FBPQ C2'!J49,IF(ISNUMBER('FBPQ C2'!I49),'FBPQ C2'!I49,""))</f>
      </c>
      <c r="F57" s="45" t="s">
        <v>782</v>
      </c>
      <c r="G57" s="45" t="str">
        <f t="shared" si="2"/>
        <v>DATA</v>
      </c>
      <c r="H57" s="35" t="str">
        <f>IF(ISBLANK('FBPQ T4'!E49)," ",'FBPQ T4'!AE49)</f>
        <v> </v>
      </c>
      <c r="I57" s="35" t="str">
        <f t="shared" si="1"/>
        <v> </v>
      </c>
      <c r="J57" s="49"/>
      <c r="K57" s="49"/>
      <c r="L57" s="50"/>
      <c r="M57" s="49"/>
      <c r="N57" s="60"/>
      <c r="O57" s="61"/>
    </row>
    <row r="58" spans="1:15" ht="12.75">
      <c r="A58" s="39"/>
      <c r="B58" s="34" t="s">
        <v>320</v>
      </c>
      <c r="C58" s="35"/>
      <c r="D58" s="39"/>
      <c r="E58" s="6">
        <f>IF(ISNUMBER('FBPQ C2'!J50),'FBPQ C2'!J50,IF(ISNUMBER('FBPQ C2'!I50),'FBPQ C2'!I50,""))</f>
      </c>
      <c r="F58" s="45"/>
      <c r="G58" s="45">
        <f t="shared" si="2"/>
        <v>0</v>
      </c>
      <c r="H58" s="35" t="str">
        <f>IF(ISBLANK('FBPQ T4'!E50)," ",'FBPQ T4'!AE50)</f>
        <v> </v>
      </c>
      <c r="I58" s="35" t="str">
        <f t="shared" si="1"/>
        <v> </v>
      </c>
      <c r="J58" s="49"/>
      <c r="K58" s="49"/>
      <c r="L58" s="50"/>
      <c r="M58" s="49"/>
      <c r="N58" s="60"/>
      <c r="O58" s="59"/>
    </row>
    <row r="59" spans="1:15" ht="12.75">
      <c r="A59" s="39"/>
      <c r="B59" s="34"/>
      <c r="C59" s="35" t="s">
        <v>599</v>
      </c>
      <c r="D59" s="39" t="s">
        <v>429</v>
      </c>
      <c r="E59" s="6">
        <f>IF(ISNUMBER('FBPQ C2'!J51),'FBPQ C2'!J51,IF(ISNUMBER('FBPQ C2'!I51),'FBPQ C2'!I51,""))</f>
        <v>8.31</v>
      </c>
      <c r="F59" s="45" t="s">
        <v>782</v>
      </c>
      <c r="G59" s="45">
        <f t="shared" si="2"/>
        <v>8.31</v>
      </c>
      <c r="H59" s="35">
        <f>IF(ISBLANK('FBPQ T4'!E51)," ",'FBPQ T4'!AE51)</f>
        <v>913</v>
      </c>
      <c r="I59" s="35">
        <f t="shared" si="1"/>
        <v>7587.030000000001</v>
      </c>
      <c r="J59" s="49"/>
      <c r="K59" s="49"/>
      <c r="L59" s="50"/>
      <c r="M59" s="49"/>
      <c r="N59" s="60"/>
      <c r="O59" s="59"/>
    </row>
    <row r="60" spans="1:15" ht="12.75">
      <c r="A60" s="39"/>
      <c r="B60" s="34"/>
      <c r="C60" s="35" t="s">
        <v>609</v>
      </c>
      <c r="D60" s="39" t="s">
        <v>429</v>
      </c>
      <c r="E60" s="6">
        <f>IF(ISNUMBER('FBPQ C2'!J52),'FBPQ C2'!J52,IF(ISNUMBER('FBPQ C2'!I52),'FBPQ C2'!I52,""))</f>
        <v>24.52</v>
      </c>
      <c r="F60" s="45" t="s">
        <v>782</v>
      </c>
      <c r="G60" s="45">
        <f t="shared" si="2"/>
        <v>24.52</v>
      </c>
      <c r="H60" s="35">
        <f>IF(ISBLANK('FBPQ T4'!E52)," ",'FBPQ T4'!AE52)</f>
        <v>3015</v>
      </c>
      <c r="I60" s="35">
        <f t="shared" si="1"/>
        <v>73927.8</v>
      </c>
      <c r="J60" s="49"/>
      <c r="K60" s="49"/>
      <c r="L60" s="50"/>
      <c r="M60" s="49"/>
      <c r="N60" s="60"/>
      <c r="O60" s="59"/>
    </row>
    <row r="61" spans="1:15" ht="12.75">
      <c r="A61" s="39"/>
      <c r="B61" s="34"/>
      <c r="C61" s="35" t="s">
        <v>610</v>
      </c>
      <c r="D61" s="39" t="s">
        <v>429</v>
      </c>
      <c r="E61" s="6">
        <f>IF(ISNUMBER('FBPQ C2'!J53),'FBPQ C2'!J53,IF(ISNUMBER('FBPQ C2'!I53),'FBPQ C2'!I53,""))</f>
        <v>7.06</v>
      </c>
      <c r="F61" s="45" t="s">
        <v>782</v>
      </c>
      <c r="G61" s="45">
        <f t="shared" si="2"/>
        <v>7.06</v>
      </c>
      <c r="H61" s="35">
        <f>IF(ISBLANK('FBPQ T4'!E53)," ",'FBPQ T4'!AE53)</f>
        <v>148</v>
      </c>
      <c r="I61" s="35">
        <f t="shared" si="1"/>
        <v>1044.8799999999999</v>
      </c>
      <c r="J61" s="49"/>
      <c r="K61" s="49"/>
      <c r="L61" s="50"/>
      <c r="M61" s="49"/>
      <c r="N61" s="60"/>
      <c r="O61" s="59"/>
    </row>
    <row r="62" spans="1:15" ht="12.75">
      <c r="A62" s="39"/>
      <c r="B62" s="34"/>
      <c r="C62" s="35" t="s">
        <v>611</v>
      </c>
      <c r="D62" s="39" t="s">
        <v>429</v>
      </c>
      <c r="E62" s="6">
        <f>IF(ISNUMBER('FBPQ C2'!J54),'FBPQ C2'!J54,IF(ISNUMBER('FBPQ C2'!I54),'FBPQ C2'!I54,""))</f>
        <v>10.15</v>
      </c>
      <c r="F62" s="45" t="s">
        <v>782</v>
      </c>
      <c r="G62" s="45">
        <f t="shared" si="2"/>
        <v>10.15</v>
      </c>
      <c r="H62" s="35">
        <f>IF(ISBLANK('FBPQ T4'!E54)," ",'FBPQ T4'!AE54)</f>
        <v>2330</v>
      </c>
      <c r="I62" s="35">
        <f t="shared" si="1"/>
        <v>23649.5</v>
      </c>
      <c r="J62" s="49"/>
      <c r="K62" s="49"/>
      <c r="L62" s="50"/>
      <c r="M62" s="49"/>
      <c r="N62" s="60"/>
      <c r="O62" s="59"/>
    </row>
    <row r="63" spans="1:15" ht="12.75">
      <c r="A63" s="39"/>
      <c r="B63" s="34"/>
      <c r="C63" s="35" t="s">
        <v>468</v>
      </c>
      <c r="D63" s="39" t="s">
        <v>429</v>
      </c>
      <c r="E63" s="6">
        <f>IF(ISNUMBER('FBPQ C2'!J55),'FBPQ C2'!J55,IF(ISNUMBER('FBPQ C2'!I55),'FBPQ C2'!I55,""))</f>
        <v>12.28</v>
      </c>
      <c r="F63" s="45" t="s">
        <v>782</v>
      </c>
      <c r="G63" s="45">
        <f t="shared" si="2"/>
        <v>12.28</v>
      </c>
      <c r="H63" s="35">
        <f>IF(ISBLANK('FBPQ T4'!E55)," ",'FBPQ T4'!AE55)</f>
        <v>7526</v>
      </c>
      <c r="I63" s="35">
        <f t="shared" si="1"/>
        <v>92419.28</v>
      </c>
      <c r="J63" s="49"/>
      <c r="K63" s="49"/>
      <c r="L63" s="50"/>
      <c r="M63" s="49"/>
      <c r="N63" s="60"/>
      <c r="O63" s="62"/>
    </row>
    <row r="64" spans="1:15" ht="12.75">
      <c r="A64" s="39"/>
      <c r="B64" s="34"/>
      <c r="C64" s="35" t="s">
        <v>469</v>
      </c>
      <c r="D64" s="39" t="s">
        <v>429</v>
      </c>
      <c r="E64" s="6">
        <f>IF(ISNUMBER('FBPQ C2'!J56),'FBPQ C2'!J56,IF(ISNUMBER('FBPQ C2'!I56),'FBPQ C2'!I56,""))</f>
      </c>
      <c r="F64" s="45" t="s">
        <v>782</v>
      </c>
      <c r="G64" s="45" t="str">
        <f t="shared" si="2"/>
        <v>DATA</v>
      </c>
      <c r="H64" s="35">
        <f>IF(ISBLANK('FBPQ T4'!E56)," ",'FBPQ T4'!AE56)</f>
        <v>5702</v>
      </c>
      <c r="I64" s="35" t="str">
        <f t="shared" si="1"/>
        <v> </v>
      </c>
      <c r="J64" s="49"/>
      <c r="K64" s="49"/>
      <c r="L64" s="50"/>
      <c r="M64" s="49"/>
      <c r="N64" s="60"/>
      <c r="O64" s="62"/>
    </row>
    <row r="65" spans="1:15" ht="12.75">
      <c r="A65" s="39"/>
      <c r="B65" s="34"/>
      <c r="C65" s="35" t="s">
        <v>601</v>
      </c>
      <c r="D65" s="39" t="s">
        <v>429</v>
      </c>
      <c r="E65" s="6">
        <f>IF(ISNUMBER('FBPQ C2'!J57),'FBPQ C2'!J57,IF(ISNUMBER('FBPQ C2'!I57),'FBPQ C2'!I57,""))</f>
      </c>
      <c r="F65" s="45" t="s">
        <v>782</v>
      </c>
      <c r="G65" s="45" t="str">
        <f t="shared" si="2"/>
        <v>DATA</v>
      </c>
      <c r="H65" s="35">
        <f>IF(ISBLANK('FBPQ T4'!E57)," ",'FBPQ T4'!AE57)</f>
        <v>1</v>
      </c>
      <c r="I65" s="35" t="str">
        <f t="shared" si="1"/>
        <v> </v>
      </c>
      <c r="J65" s="49"/>
      <c r="K65" s="49"/>
      <c r="L65" s="50"/>
      <c r="M65" s="49"/>
      <c r="N65" s="60"/>
      <c r="O65" s="59"/>
    </row>
    <row r="66" spans="1:15" ht="12.75">
      <c r="A66" s="39"/>
      <c r="B66" s="34"/>
      <c r="C66" s="35" t="s">
        <v>346</v>
      </c>
      <c r="D66" s="39" t="s">
        <v>429</v>
      </c>
      <c r="E66" s="6">
        <f>IF(ISNUMBER('FBPQ C2'!J58),'FBPQ C2'!J58,IF(ISNUMBER('FBPQ C2'!I58),'FBPQ C2'!I58,""))</f>
      </c>
      <c r="F66" s="45" t="s">
        <v>782</v>
      </c>
      <c r="G66" s="45" t="str">
        <f t="shared" si="2"/>
        <v> </v>
      </c>
      <c r="H66" s="35">
        <f>IF(ISBLANK('FBPQ T4'!E58)," ",'FBPQ T4'!AE58)</f>
        <v>0</v>
      </c>
      <c r="I66" s="35" t="str">
        <f t="shared" si="1"/>
        <v> </v>
      </c>
      <c r="J66" s="49"/>
      <c r="K66" s="49"/>
      <c r="L66" s="49"/>
      <c r="M66" s="49"/>
      <c r="N66" s="60"/>
      <c r="O66" s="59"/>
    </row>
    <row r="67" spans="1:15" ht="12.75">
      <c r="A67" s="39"/>
      <c r="B67" s="34"/>
      <c r="C67" s="35" t="s">
        <v>216</v>
      </c>
      <c r="D67" s="39" t="s">
        <v>429</v>
      </c>
      <c r="E67" s="6">
        <f>IF(ISNUMBER('FBPQ C2'!J59),'FBPQ C2'!J59,IF(ISNUMBER('FBPQ C2'!I59),'FBPQ C2'!I59,""))</f>
      </c>
      <c r="F67" s="45" t="s">
        <v>782</v>
      </c>
      <c r="G67" s="45" t="str">
        <f t="shared" si="2"/>
        <v> </v>
      </c>
      <c r="H67" s="35">
        <f>IF(ISBLANK('FBPQ T4'!E59)," ",'FBPQ T4'!AE59)</f>
        <v>0</v>
      </c>
      <c r="I67" s="35" t="str">
        <f t="shared" si="1"/>
        <v> </v>
      </c>
      <c r="J67" s="49"/>
      <c r="K67" s="49"/>
      <c r="L67" s="49"/>
      <c r="M67" s="49"/>
      <c r="N67" s="60"/>
      <c r="O67" s="59"/>
    </row>
    <row r="68" spans="1:15" ht="12.75">
      <c r="A68" s="39"/>
      <c r="B68" s="34"/>
      <c r="C68" s="35" t="s">
        <v>217</v>
      </c>
      <c r="D68" s="39" t="s">
        <v>429</v>
      </c>
      <c r="E68" s="6">
        <f>IF(ISNUMBER('FBPQ C2'!J60),'FBPQ C2'!J60,IF(ISNUMBER('FBPQ C2'!I60),'FBPQ C2'!I60,""))</f>
      </c>
      <c r="F68" s="45" t="s">
        <v>782</v>
      </c>
      <c r="G68" s="45" t="str">
        <f t="shared" si="2"/>
        <v> </v>
      </c>
      <c r="H68" s="35">
        <f>IF(ISBLANK('FBPQ T4'!E60)," ",'FBPQ T4'!AE60)</f>
        <v>0</v>
      </c>
      <c r="I68" s="35" t="str">
        <f t="shared" si="1"/>
        <v> </v>
      </c>
      <c r="J68" s="49"/>
      <c r="K68" s="49"/>
      <c r="L68" s="50"/>
      <c r="M68" s="49"/>
      <c r="N68" s="60"/>
      <c r="O68" s="59"/>
    </row>
    <row r="69" spans="1:15" ht="12.75">
      <c r="A69" s="39"/>
      <c r="B69" s="34"/>
      <c r="C69" s="35" t="s">
        <v>218</v>
      </c>
      <c r="D69" s="39" t="s">
        <v>429</v>
      </c>
      <c r="E69" s="6">
        <f>IF(ISNUMBER('FBPQ C2'!J61),'FBPQ C2'!J61,IF(ISNUMBER('FBPQ C2'!I61),'FBPQ C2'!I61,""))</f>
      </c>
      <c r="F69" s="45" t="s">
        <v>782</v>
      </c>
      <c r="G69" s="45" t="str">
        <f t="shared" si="2"/>
        <v> </v>
      </c>
      <c r="H69" s="35">
        <f>IF(ISBLANK('FBPQ T4'!E61)," ",'FBPQ T4'!AE61)</f>
        <v>0</v>
      </c>
      <c r="I69" s="35" t="str">
        <f t="shared" si="1"/>
        <v> </v>
      </c>
      <c r="J69" s="49"/>
      <c r="K69" s="49"/>
      <c r="L69" s="50"/>
      <c r="M69" s="49"/>
      <c r="N69" s="60"/>
      <c r="O69" s="59"/>
    </row>
    <row r="70" spans="1:15" ht="12.75">
      <c r="A70" s="39"/>
      <c r="B70" s="34"/>
      <c r="C70" s="35" t="s">
        <v>221</v>
      </c>
      <c r="D70" s="39" t="s">
        <v>429</v>
      </c>
      <c r="E70" s="6">
        <f>IF(ISNUMBER('FBPQ C2'!J62),'FBPQ C2'!J62,IF(ISNUMBER('FBPQ C2'!I62),'FBPQ C2'!I62,""))</f>
      </c>
      <c r="F70" s="45" t="s">
        <v>782</v>
      </c>
      <c r="G70" s="45" t="str">
        <f t="shared" si="2"/>
        <v> </v>
      </c>
      <c r="H70" s="35">
        <f>IF(ISBLANK('FBPQ T4'!E62)," ",'FBPQ T4'!AE62)</f>
        <v>0</v>
      </c>
      <c r="I70" s="35" t="str">
        <f t="shared" si="1"/>
        <v> </v>
      </c>
      <c r="J70" s="49"/>
      <c r="K70" s="49"/>
      <c r="L70" s="50"/>
      <c r="M70" s="49"/>
      <c r="N70" s="60"/>
      <c r="O70" s="62"/>
    </row>
    <row r="71" spans="1:15" ht="12.75">
      <c r="A71" s="39"/>
      <c r="B71" s="34"/>
      <c r="C71" s="35" t="s">
        <v>349</v>
      </c>
      <c r="D71" s="39" t="s">
        <v>429</v>
      </c>
      <c r="E71" s="6">
        <f>IF(ISNUMBER('FBPQ C2'!J63),'FBPQ C2'!J63,IF(ISNUMBER('FBPQ C2'!I63),'FBPQ C2'!I63,""))</f>
      </c>
      <c r="F71" s="45" t="s">
        <v>782</v>
      </c>
      <c r="G71" s="45" t="str">
        <f t="shared" si="2"/>
        <v> </v>
      </c>
      <c r="H71" s="35">
        <f>IF(ISBLANK('FBPQ T4'!E63)," ",'FBPQ T4'!AE63)</f>
        <v>0</v>
      </c>
      <c r="I71" s="35" t="str">
        <f t="shared" si="1"/>
        <v> </v>
      </c>
      <c r="J71" s="49"/>
      <c r="K71" s="49"/>
      <c r="L71" s="50"/>
      <c r="M71" s="49"/>
      <c r="N71" s="60"/>
      <c r="O71" s="62"/>
    </row>
    <row r="72" spans="1:15" ht="12.75">
      <c r="A72" s="39"/>
      <c r="B72" s="34"/>
      <c r="C72" s="35" t="s">
        <v>226</v>
      </c>
      <c r="D72" s="39" t="s">
        <v>429</v>
      </c>
      <c r="E72" s="6">
        <f>IF(ISNUMBER('FBPQ C2'!J64),'FBPQ C2'!J64,IF(ISNUMBER('FBPQ C2'!I64),'FBPQ C2'!I64,""))</f>
      </c>
      <c r="F72" s="45" t="s">
        <v>782</v>
      </c>
      <c r="G72" s="45" t="str">
        <f t="shared" si="2"/>
        <v> </v>
      </c>
      <c r="H72" s="35">
        <f>IF(ISBLANK('FBPQ T4'!E64)," ",'FBPQ T4'!AE64)</f>
        <v>0</v>
      </c>
      <c r="I72" s="35" t="str">
        <f t="shared" si="1"/>
        <v> </v>
      </c>
      <c r="J72" s="49"/>
      <c r="K72" s="49"/>
      <c r="L72" s="50"/>
      <c r="M72" s="49"/>
      <c r="N72" s="60"/>
      <c r="O72" s="61"/>
    </row>
    <row r="73" spans="1:15" ht="12.75">
      <c r="A73" s="39"/>
      <c r="B73" s="34"/>
      <c r="C73" s="35"/>
      <c r="D73" s="39"/>
      <c r="E73" s="6">
        <f>IF(ISNUMBER('FBPQ C2'!J65),'FBPQ C2'!J65,IF(ISNUMBER('FBPQ C2'!I65),'FBPQ C2'!I65,""))</f>
      </c>
      <c r="F73" s="45"/>
      <c r="G73" s="45">
        <f t="shared" si="2"/>
        <v>0</v>
      </c>
      <c r="H73" s="35" t="str">
        <f>IF(ISBLANK('FBPQ T4'!E65)," ",'FBPQ T4'!AE65)</f>
        <v> </v>
      </c>
      <c r="I73" s="35" t="str">
        <f t="shared" si="1"/>
        <v> </v>
      </c>
      <c r="J73" s="49"/>
      <c r="K73" s="49"/>
      <c r="L73" s="50"/>
      <c r="M73" s="49"/>
      <c r="N73" s="60"/>
      <c r="O73" s="61"/>
    </row>
    <row r="74" spans="1:15" ht="12.75">
      <c r="A74" s="39"/>
      <c r="B74" s="34" t="s">
        <v>227</v>
      </c>
      <c r="C74" s="35"/>
      <c r="D74" s="39"/>
      <c r="E74" s="6">
        <f>IF(ISNUMBER('FBPQ C2'!J66),'FBPQ C2'!J66,IF(ISNUMBER('FBPQ C2'!I66),'FBPQ C2'!I66,""))</f>
      </c>
      <c r="F74" s="45"/>
      <c r="G74" s="45">
        <f t="shared" si="2"/>
        <v>0</v>
      </c>
      <c r="H74" s="35" t="str">
        <f>IF(ISBLANK('FBPQ T4'!E66)," ",'FBPQ T4'!AE66)</f>
        <v> </v>
      </c>
      <c r="I74" s="35" t="str">
        <f t="shared" si="1"/>
        <v> </v>
      </c>
      <c r="J74" s="49"/>
      <c r="K74" s="49"/>
      <c r="L74" s="50"/>
      <c r="M74" s="49"/>
      <c r="N74" s="60"/>
      <c r="O74" s="59"/>
    </row>
    <row r="75" spans="1:15" ht="12.75">
      <c r="A75" s="39"/>
      <c r="B75" s="34"/>
      <c r="C75" s="35" t="s">
        <v>228</v>
      </c>
      <c r="D75" s="39" t="s">
        <v>429</v>
      </c>
      <c r="E75" s="6">
        <f>IF(ISNUMBER('FBPQ C2'!J67),'FBPQ C2'!J67,IF(ISNUMBER('FBPQ C2'!I67),'FBPQ C2'!I67,""))</f>
        <v>1.78</v>
      </c>
      <c r="F75" s="45" t="s">
        <v>782</v>
      </c>
      <c r="G75" s="45">
        <f t="shared" si="2"/>
        <v>1.78</v>
      </c>
      <c r="H75" s="35">
        <f>IF(ISBLANK('FBPQ T4'!E67)," ",'FBPQ T4'!AE67)</f>
        <v>31541</v>
      </c>
      <c r="I75" s="35">
        <f t="shared" si="1"/>
        <v>56142.98</v>
      </c>
      <c r="J75" s="49"/>
      <c r="K75" s="49"/>
      <c r="L75" s="50"/>
      <c r="M75" s="49"/>
      <c r="N75" s="60"/>
      <c r="O75" s="59"/>
    </row>
    <row r="76" spans="1:15" ht="12.75">
      <c r="A76" s="39"/>
      <c r="B76" s="34"/>
      <c r="C76" s="35" t="s">
        <v>229</v>
      </c>
      <c r="D76" s="39" t="s">
        <v>429</v>
      </c>
      <c r="E76" s="6">
        <f>IF(ISNUMBER('FBPQ C2'!J68),'FBPQ C2'!J68,IF(ISNUMBER('FBPQ C2'!I68),'FBPQ C2'!I68,""))</f>
        <v>12.82</v>
      </c>
      <c r="F76" s="45" t="s">
        <v>782</v>
      </c>
      <c r="G76" s="45">
        <f t="shared" si="2"/>
        <v>12.82</v>
      </c>
      <c r="H76" s="35">
        <f>IF(ISBLANK('FBPQ T4'!E68)," ",'FBPQ T4'!AE68)</f>
        <v>8203</v>
      </c>
      <c r="I76" s="35">
        <f t="shared" si="1"/>
        <v>105162.46</v>
      </c>
      <c r="J76" s="49"/>
      <c r="K76" s="49"/>
      <c r="L76" s="50"/>
      <c r="M76" s="49"/>
      <c r="N76" s="60"/>
      <c r="O76" s="59"/>
    </row>
    <row r="77" spans="1:15" ht="12.75">
      <c r="A77" s="39"/>
      <c r="B77" s="34"/>
      <c r="C77" s="35" t="s">
        <v>230</v>
      </c>
      <c r="D77" s="39" t="s">
        <v>429</v>
      </c>
      <c r="E77" s="6">
        <f>IF(ISNUMBER('FBPQ C2'!J69),'FBPQ C2'!J69,IF(ISNUMBER('FBPQ C2'!I69),'FBPQ C2'!I69,""))</f>
      </c>
      <c r="F77" s="45" t="s">
        <v>782</v>
      </c>
      <c r="G77" s="45" t="str">
        <f t="shared" si="2"/>
        <v> </v>
      </c>
      <c r="H77" s="35">
        <f>IF(ISBLANK('FBPQ T4'!E69)," ",'FBPQ T4'!AE69)</f>
        <v>0</v>
      </c>
      <c r="I77" s="35" t="str">
        <f t="shared" si="1"/>
        <v> </v>
      </c>
      <c r="J77" s="49"/>
      <c r="K77" s="49"/>
      <c r="L77" s="50"/>
      <c r="M77" s="49"/>
      <c r="N77" s="60"/>
      <c r="O77" s="59"/>
    </row>
    <row r="78" spans="1:15" ht="12.75">
      <c r="A78" s="39"/>
      <c r="B78" s="34"/>
      <c r="C78" s="35" t="s">
        <v>231</v>
      </c>
      <c r="D78" s="39" t="s">
        <v>429</v>
      </c>
      <c r="E78" s="6">
        <f>IF(ISNUMBER('FBPQ C2'!J70),'FBPQ C2'!J70,IF(ISNUMBER('FBPQ C2'!I70),'FBPQ C2'!I70,""))</f>
      </c>
      <c r="F78" s="45" t="s">
        <v>782</v>
      </c>
      <c r="G78" s="45" t="str">
        <f t="shared" si="2"/>
        <v> </v>
      </c>
      <c r="H78" s="35">
        <f>IF(ISBLANK('FBPQ T4'!E70)," ",'FBPQ T4'!AE70)</f>
        <v>0</v>
      </c>
      <c r="I78" s="35" t="str">
        <f t="shared" si="1"/>
        <v> </v>
      </c>
      <c r="J78" s="49"/>
      <c r="K78" s="49"/>
      <c r="L78" s="50"/>
      <c r="M78" s="49"/>
      <c r="N78" s="60"/>
      <c r="O78" s="61"/>
    </row>
    <row r="79" spans="1:15" ht="12.75">
      <c r="A79" s="39"/>
      <c r="B79" s="34"/>
      <c r="C79" s="35"/>
      <c r="D79" s="39"/>
      <c r="E79" s="6">
        <f>IF(ISNUMBER('FBPQ C2'!J71),'FBPQ C2'!J71,IF(ISNUMBER('FBPQ C2'!I71),'FBPQ C2'!I71,""))</f>
      </c>
      <c r="F79" s="45"/>
      <c r="G79" s="45">
        <f t="shared" si="2"/>
        <v>0</v>
      </c>
      <c r="H79" s="35" t="str">
        <f>IF(ISBLANK('FBPQ T4'!E71)," ",'FBPQ T4'!AE71)</f>
        <v> </v>
      </c>
      <c r="I79" s="35" t="str">
        <f t="shared" si="1"/>
        <v> </v>
      </c>
      <c r="J79" s="63"/>
      <c r="K79" s="63"/>
      <c r="L79" s="63"/>
      <c r="M79" s="63"/>
      <c r="N79" s="64"/>
      <c r="O79" s="61"/>
    </row>
    <row r="80" spans="1:15" ht="12.75">
      <c r="A80" s="39" t="s">
        <v>245</v>
      </c>
      <c r="B80" s="34"/>
      <c r="C80" s="35"/>
      <c r="D80" s="39"/>
      <c r="E80" s="6">
        <f>IF(ISNUMBER('FBPQ C2'!J72),'FBPQ C2'!J72,IF(ISNUMBER('FBPQ C2'!I72),'FBPQ C2'!I72,""))</f>
      </c>
      <c r="F80" s="45"/>
      <c r="G80" s="45">
        <f t="shared" si="2"/>
        <v>0</v>
      </c>
      <c r="H80" s="35" t="str">
        <f>IF(ISBLANK('FBPQ T4'!E72)," ",'FBPQ T4'!AE72)</f>
        <v> </v>
      </c>
      <c r="I80" s="35" t="str">
        <f t="shared" si="1"/>
        <v> </v>
      </c>
      <c r="J80" s="49"/>
      <c r="K80" s="48"/>
      <c r="L80" s="48"/>
      <c r="M80" s="65"/>
      <c r="N80" s="60"/>
      <c r="O80" s="61"/>
    </row>
    <row r="81" spans="1:15" ht="12.75">
      <c r="A81" s="39"/>
      <c r="B81" s="34" t="s">
        <v>789</v>
      </c>
      <c r="C81" s="35"/>
      <c r="D81" s="39"/>
      <c r="E81" s="6">
        <f>IF(ISNUMBER('FBPQ C2'!J73),'FBPQ C2'!J73,IF(ISNUMBER('FBPQ C2'!I73),'FBPQ C2'!I73,""))</f>
      </c>
      <c r="F81" s="45"/>
      <c r="G81" s="45">
        <f t="shared" si="2"/>
        <v>0</v>
      </c>
      <c r="H81" s="35" t="str">
        <f>IF(ISBLANK('FBPQ T4'!E73)," ",'FBPQ T4'!AE73)</f>
        <v> </v>
      </c>
      <c r="I81" s="35" t="str">
        <f t="shared" si="1"/>
        <v> </v>
      </c>
      <c r="J81" s="49"/>
      <c r="K81" s="49"/>
      <c r="L81" s="50"/>
      <c r="M81" s="49"/>
      <c r="N81" s="60"/>
      <c r="O81" s="59"/>
    </row>
    <row r="82" spans="1:15" ht="12.75">
      <c r="A82" s="39"/>
      <c r="B82" s="34"/>
      <c r="C82" s="35" t="s">
        <v>246</v>
      </c>
      <c r="D82" s="39" t="s">
        <v>718</v>
      </c>
      <c r="E82" s="6">
        <f>IF(ISNUMBER('FBPQ C2'!J74),'FBPQ C2'!J74,IF(ISNUMBER('FBPQ C2'!I74),'FBPQ C2'!I74,""))</f>
        <v>26.88</v>
      </c>
      <c r="F82" s="45" t="s">
        <v>782</v>
      </c>
      <c r="G82" s="45">
        <f t="shared" si="2"/>
        <v>26.88</v>
      </c>
      <c r="H82" s="35">
        <f>IF(ISBLANK('FBPQ T4'!E74)," ",'FBPQ T4'!AE74)</f>
        <v>1186</v>
      </c>
      <c r="I82" s="35">
        <f t="shared" si="1"/>
        <v>31879.68</v>
      </c>
      <c r="J82" s="49"/>
      <c r="K82" s="49"/>
      <c r="L82" s="49"/>
      <c r="M82" s="49"/>
      <c r="N82" s="60"/>
      <c r="O82" s="59"/>
    </row>
    <row r="83" spans="1:15" ht="12.75">
      <c r="A83" s="39"/>
      <c r="B83" s="34"/>
      <c r="C83" s="35" t="s">
        <v>247</v>
      </c>
      <c r="D83" s="39" t="s">
        <v>718</v>
      </c>
      <c r="E83" s="6">
        <f>IF(ISNUMBER('FBPQ C2'!J75),'FBPQ C2'!J75,IF(ISNUMBER('FBPQ C2'!I75),'FBPQ C2'!I75,""))</f>
        <v>33.67</v>
      </c>
      <c r="F83" s="45" t="s">
        <v>782</v>
      </c>
      <c r="G83" s="45">
        <f t="shared" si="2"/>
        <v>33.67</v>
      </c>
      <c r="H83" s="35">
        <f>IF(ISBLANK('FBPQ T4'!E75)," ",'FBPQ T4'!AE75)</f>
        <v>41</v>
      </c>
      <c r="I83" s="35">
        <f t="shared" si="1"/>
        <v>1380.47</v>
      </c>
      <c r="J83" s="49"/>
      <c r="K83" s="49"/>
      <c r="L83" s="50"/>
      <c r="M83" s="49"/>
      <c r="N83" s="60"/>
      <c r="O83" s="59"/>
    </row>
    <row r="84" spans="1:15" ht="12.75">
      <c r="A84" s="39"/>
      <c r="B84" s="34"/>
      <c r="C84" s="35" t="s">
        <v>248</v>
      </c>
      <c r="D84" s="39" t="s">
        <v>718</v>
      </c>
      <c r="E84" s="6">
        <f>IF(ISNUMBER('FBPQ C2'!J76),'FBPQ C2'!J76,IF(ISNUMBER('FBPQ C2'!I76),'FBPQ C2'!I76,""))</f>
        <v>41.55</v>
      </c>
      <c r="F84" s="45" t="s">
        <v>782</v>
      </c>
      <c r="G84" s="45">
        <f aca="true" t="shared" si="3" ref="G84:G115">IF(ISNUMBER(E84),E84,IF(H84&gt;0,F84," "))</f>
        <v>41.55</v>
      </c>
      <c r="H84" s="35">
        <f>IF(ISBLANK('FBPQ T4'!E76)," ",'FBPQ T4'!AE76)</f>
        <v>329</v>
      </c>
      <c r="I84" s="35">
        <f t="shared" si="1"/>
        <v>13669.949999999999</v>
      </c>
      <c r="J84" s="49"/>
      <c r="K84" s="49"/>
      <c r="L84" s="50"/>
      <c r="M84" s="49"/>
      <c r="N84" s="60"/>
      <c r="O84" s="59"/>
    </row>
    <row r="85" spans="1:15" ht="12.75">
      <c r="A85" s="39"/>
      <c r="B85" s="34"/>
      <c r="C85" s="35" t="s">
        <v>249</v>
      </c>
      <c r="D85" s="39" t="s">
        <v>718</v>
      </c>
      <c r="E85" s="6">
        <f>IF(ISNUMBER('FBPQ C2'!J77),'FBPQ C2'!J77,IF(ISNUMBER('FBPQ C2'!I77),'FBPQ C2'!I77,""))</f>
        <v>52.49</v>
      </c>
      <c r="F85" s="45" t="s">
        <v>782</v>
      </c>
      <c r="G85" s="45">
        <f t="shared" si="3"/>
        <v>52.49</v>
      </c>
      <c r="H85" s="35">
        <f>IF(ISBLANK('FBPQ T4'!E77)," ",'FBPQ T4'!AE77)</f>
        <v>28</v>
      </c>
      <c r="I85" s="35">
        <f aca="true" t="shared" si="4" ref="I85:I148">IF(ISERROR(G85*H85)," ",G85*H85)</f>
        <v>1469.72</v>
      </c>
      <c r="J85" s="49"/>
      <c r="K85" s="49"/>
      <c r="L85" s="50"/>
      <c r="M85" s="49"/>
      <c r="N85" s="60"/>
      <c r="O85" s="61"/>
    </row>
    <row r="86" spans="1:15" ht="12.75">
      <c r="A86" s="39"/>
      <c r="B86" s="34"/>
      <c r="C86" s="35"/>
      <c r="D86" s="39"/>
      <c r="E86" s="6">
        <f>IF(ISNUMBER('FBPQ C2'!J78),'FBPQ C2'!J78,IF(ISNUMBER('FBPQ C2'!I78),'FBPQ C2'!I78,""))</f>
      </c>
      <c r="F86" s="45"/>
      <c r="G86" s="45">
        <f t="shared" si="3"/>
        <v>0</v>
      </c>
      <c r="H86" s="35" t="str">
        <f>IF(ISBLANK('FBPQ T4'!E78)," ",'FBPQ T4'!AE78)</f>
        <v> </v>
      </c>
      <c r="I86" s="35" t="str">
        <f t="shared" si="4"/>
        <v> </v>
      </c>
      <c r="J86" s="49"/>
      <c r="K86" s="49"/>
      <c r="L86" s="50"/>
      <c r="M86" s="49"/>
      <c r="N86" s="60"/>
      <c r="O86" s="61"/>
    </row>
    <row r="87" spans="1:15" ht="12.75">
      <c r="A87" s="39"/>
      <c r="B87" s="34" t="s">
        <v>430</v>
      </c>
      <c r="C87" s="35"/>
      <c r="D87" s="39"/>
      <c r="E87" s="6">
        <f>IF(ISNUMBER('FBPQ C2'!J79),'FBPQ C2'!J79,IF(ISNUMBER('FBPQ C2'!I79),'FBPQ C2'!I79,""))</f>
      </c>
      <c r="F87" s="45"/>
      <c r="G87" s="45">
        <f t="shared" si="3"/>
        <v>0</v>
      </c>
      <c r="H87" s="35" t="str">
        <f>IF(ISBLANK('FBPQ T4'!E79)," ",'FBPQ T4'!AE79)</f>
        <v> </v>
      </c>
      <c r="I87" s="35" t="str">
        <f t="shared" si="4"/>
        <v> </v>
      </c>
      <c r="J87" s="49"/>
      <c r="K87" s="49"/>
      <c r="L87" s="50"/>
      <c r="M87" s="49"/>
      <c r="N87" s="60"/>
      <c r="O87" s="59"/>
    </row>
    <row r="88" spans="1:15" ht="12.75">
      <c r="A88" s="39"/>
      <c r="B88" s="34"/>
      <c r="C88" s="35" t="s">
        <v>250</v>
      </c>
      <c r="D88" s="39" t="s">
        <v>429</v>
      </c>
      <c r="E88" s="6">
        <f>IF(ISNUMBER('FBPQ C2'!J80),'FBPQ C2'!J80,IF(ISNUMBER('FBPQ C2'!I80),'FBPQ C2'!I80,""))</f>
        <v>2.61</v>
      </c>
      <c r="F88" s="45" t="s">
        <v>782</v>
      </c>
      <c r="G88" s="45">
        <f t="shared" si="3"/>
        <v>2.61</v>
      </c>
      <c r="H88" s="35">
        <f>IF(ISBLANK('FBPQ T4'!E80)," ",'FBPQ T4'!AE80)</f>
        <v>15324</v>
      </c>
      <c r="I88" s="35">
        <f t="shared" si="4"/>
        <v>39995.64</v>
      </c>
      <c r="J88" s="49"/>
      <c r="K88" s="49"/>
      <c r="L88" s="49"/>
      <c r="M88" s="49"/>
      <c r="N88" s="60"/>
      <c r="O88" s="59"/>
    </row>
    <row r="89" spans="1:15" ht="12.75">
      <c r="A89" s="39"/>
      <c r="B89" s="34"/>
      <c r="C89" s="35" t="s">
        <v>251</v>
      </c>
      <c r="D89" s="39" t="s">
        <v>429</v>
      </c>
      <c r="E89" s="6">
        <f>IF(ISNUMBER('FBPQ C2'!J81),'FBPQ C2'!J81,IF(ISNUMBER('FBPQ C2'!I81),'FBPQ C2'!I81,""))</f>
        <v>45.36</v>
      </c>
      <c r="F89" s="45" t="s">
        <v>782</v>
      </c>
      <c r="G89" s="45">
        <f t="shared" si="3"/>
        <v>45.36</v>
      </c>
      <c r="H89" s="35">
        <f>IF(ISBLANK('FBPQ T4'!E81)," ",'FBPQ T4'!AE81)</f>
        <v>190</v>
      </c>
      <c r="I89" s="35">
        <f t="shared" si="4"/>
        <v>8618.4</v>
      </c>
      <c r="J89" s="49"/>
      <c r="K89" s="49"/>
      <c r="L89" s="49"/>
      <c r="M89" s="49"/>
      <c r="N89" s="60"/>
      <c r="O89" s="59"/>
    </row>
    <row r="90" spans="1:15" ht="12.75">
      <c r="A90" s="39"/>
      <c r="B90" s="34"/>
      <c r="C90" s="35" t="s">
        <v>252</v>
      </c>
      <c r="D90" s="39" t="s">
        <v>429</v>
      </c>
      <c r="E90" s="6">
        <f>IF(ISNUMBER('FBPQ C2'!J82),'FBPQ C2'!J82,IF(ISNUMBER('FBPQ C2'!I82),'FBPQ C2'!I82,""))</f>
        <v>3.61</v>
      </c>
      <c r="F90" s="45" t="s">
        <v>782</v>
      </c>
      <c r="G90" s="45">
        <f t="shared" si="3"/>
        <v>3.61</v>
      </c>
      <c r="H90" s="35">
        <f>IF(ISBLANK('FBPQ T4'!E82)," ",'FBPQ T4'!AE82)</f>
        <v>4318</v>
      </c>
      <c r="I90" s="35">
        <f t="shared" si="4"/>
        <v>15587.98</v>
      </c>
      <c r="J90" s="49"/>
      <c r="K90" s="49"/>
      <c r="L90" s="50"/>
      <c r="M90" s="49"/>
      <c r="N90" s="60"/>
      <c r="O90" s="59"/>
    </row>
    <row r="91" spans="1:15" ht="12.75">
      <c r="A91" s="39"/>
      <c r="B91" s="34"/>
      <c r="C91" s="35" t="s">
        <v>253</v>
      </c>
      <c r="D91" s="39" t="s">
        <v>429</v>
      </c>
      <c r="E91" s="6">
        <f>IF(ISNUMBER('FBPQ C2'!J83),'FBPQ C2'!J83,IF(ISNUMBER('FBPQ C2'!I83),'FBPQ C2'!I83,""))</f>
        <v>74.53</v>
      </c>
      <c r="F91" s="45" t="s">
        <v>782</v>
      </c>
      <c r="G91" s="45">
        <f t="shared" si="3"/>
        <v>74.53</v>
      </c>
      <c r="H91" s="35">
        <f>IF(ISBLANK('FBPQ T4'!E83)," ",'FBPQ T4'!AE83)</f>
        <v>251</v>
      </c>
      <c r="I91" s="35">
        <f t="shared" si="4"/>
        <v>18707.03</v>
      </c>
      <c r="J91" s="49"/>
      <c r="K91" s="49"/>
      <c r="L91" s="50"/>
      <c r="M91" s="49"/>
      <c r="N91" s="60"/>
      <c r="O91" s="61"/>
    </row>
    <row r="92" spans="1:15" ht="12.75">
      <c r="A92" s="39"/>
      <c r="B92" s="34"/>
      <c r="C92" s="35"/>
      <c r="D92" s="39"/>
      <c r="E92" s="6">
        <f>IF(ISNUMBER('FBPQ C2'!J84),'FBPQ C2'!J84,IF(ISNUMBER('FBPQ C2'!I84),'FBPQ C2'!I84,""))</f>
      </c>
      <c r="F92" s="45"/>
      <c r="G92" s="45">
        <f t="shared" si="3"/>
        <v>0</v>
      </c>
      <c r="H92" s="35" t="str">
        <f>IF(ISBLANK('FBPQ T4'!E84)," ",'FBPQ T4'!AE84)</f>
        <v> </v>
      </c>
      <c r="I92" s="35" t="str">
        <f t="shared" si="4"/>
        <v> </v>
      </c>
      <c r="J92" s="49"/>
      <c r="K92" s="49"/>
      <c r="L92" s="49"/>
      <c r="M92" s="49"/>
      <c r="N92" s="60"/>
      <c r="O92" s="61"/>
    </row>
    <row r="93" spans="1:15" ht="12.75">
      <c r="A93" s="39"/>
      <c r="B93" s="34" t="s">
        <v>455</v>
      </c>
      <c r="C93" s="35"/>
      <c r="D93" s="39"/>
      <c r="E93" s="6">
        <f>IF(ISNUMBER('FBPQ C2'!J85),'FBPQ C2'!J85,IF(ISNUMBER('FBPQ C2'!I85),'FBPQ C2'!I85,""))</f>
      </c>
      <c r="F93" s="45"/>
      <c r="G93" s="45">
        <f t="shared" si="3"/>
        <v>0</v>
      </c>
      <c r="H93" s="35" t="str">
        <f>IF(ISBLANK('FBPQ T4'!E85)," ",'FBPQ T4'!AE85)</f>
        <v> </v>
      </c>
      <c r="I93" s="35" t="str">
        <f t="shared" si="4"/>
        <v> </v>
      </c>
      <c r="J93" s="56"/>
      <c r="K93" s="49"/>
      <c r="L93" s="50"/>
      <c r="M93" s="49"/>
      <c r="N93" s="60"/>
      <c r="O93" s="59"/>
    </row>
    <row r="94" spans="1:15" ht="12.75">
      <c r="A94" s="39"/>
      <c r="B94" s="34"/>
      <c r="C94" s="35" t="s">
        <v>117</v>
      </c>
      <c r="D94" s="39" t="s">
        <v>718</v>
      </c>
      <c r="E94" s="6">
        <f>IF(ISNUMBER('FBPQ C2'!J86),'FBPQ C2'!J86,IF(ISNUMBER('FBPQ C2'!I86),'FBPQ C2'!I86,""))</f>
        <v>173.04</v>
      </c>
      <c r="F94" s="45" t="s">
        <v>782</v>
      </c>
      <c r="G94" s="45">
        <f t="shared" si="3"/>
        <v>173.04</v>
      </c>
      <c r="H94" s="35">
        <f>IF(ISBLANK('FBPQ T4'!E86)," ",'FBPQ T4'!AE86)</f>
        <v>386.84</v>
      </c>
      <c r="I94" s="35">
        <f t="shared" si="4"/>
        <v>66938.79359999999</v>
      </c>
      <c r="J94" s="56"/>
      <c r="K94" s="49"/>
      <c r="L94" s="50"/>
      <c r="M94" s="49"/>
      <c r="N94" s="60"/>
      <c r="O94" s="59"/>
    </row>
    <row r="95" spans="1:15" ht="12.75">
      <c r="A95" s="39"/>
      <c r="B95" s="34"/>
      <c r="C95" s="35" t="s">
        <v>118</v>
      </c>
      <c r="D95" s="39" t="s">
        <v>718</v>
      </c>
      <c r="E95" s="6">
        <f>IF(ISNUMBER('FBPQ C2'!J87),'FBPQ C2'!J87,IF(ISNUMBER('FBPQ C2'!I87),'FBPQ C2'!I87,""))</f>
        <v>152.89</v>
      </c>
      <c r="F95" s="45" t="s">
        <v>782</v>
      </c>
      <c r="G95" s="45">
        <f t="shared" si="3"/>
        <v>152.89</v>
      </c>
      <c r="H95" s="35">
        <f>IF(ISBLANK('FBPQ T4'!E87)," ",'FBPQ T4'!AE87)</f>
        <v>0</v>
      </c>
      <c r="I95" s="35">
        <f t="shared" si="4"/>
        <v>0</v>
      </c>
      <c r="J95" s="56"/>
      <c r="K95" s="49"/>
      <c r="L95" s="50"/>
      <c r="M95" s="49"/>
      <c r="N95" s="60"/>
      <c r="O95" s="59"/>
    </row>
    <row r="96" spans="1:15" ht="12.75">
      <c r="A96" s="39"/>
      <c r="B96" s="34"/>
      <c r="C96" s="35" t="s">
        <v>119</v>
      </c>
      <c r="D96" s="39" t="s">
        <v>718</v>
      </c>
      <c r="E96" s="6">
        <f>IF(ISNUMBER('FBPQ C2'!J88),'FBPQ C2'!J88,IF(ISNUMBER('FBPQ C2'!I88),'FBPQ C2'!I88,""))</f>
        <v>173.42</v>
      </c>
      <c r="F96" s="45" t="s">
        <v>782</v>
      </c>
      <c r="G96" s="45">
        <f t="shared" si="3"/>
        <v>173.42</v>
      </c>
      <c r="H96" s="35">
        <f>IF(ISBLANK('FBPQ T4'!E88)," ",'FBPQ T4'!AE88)</f>
        <v>8.124</v>
      </c>
      <c r="I96" s="35">
        <f t="shared" si="4"/>
        <v>1408.86408</v>
      </c>
      <c r="J96" s="56"/>
      <c r="K96" s="49"/>
      <c r="L96" s="50"/>
      <c r="M96" s="49"/>
      <c r="N96" s="60"/>
      <c r="O96" s="59"/>
    </row>
    <row r="97" spans="1:15" ht="12.75">
      <c r="A97" s="39"/>
      <c r="B97" s="34"/>
      <c r="C97" s="35" t="s">
        <v>258</v>
      </c>
      <c r="D97" s="39" t="s">
        <v>718</v>
      </c>
      <c r="E97" s="6">
        <f>IF(ISNUMBER('FBPQ C2'!J89),'FBPQ C2'!J89,IF(ISNUMBER('FBPQ C2'!I89),'FBPQ C2'!I89,""))</f>
        <v>444.45</v>
      </c>
      <c r="F97" s="45" t="s">
        <v>782</v>
      </c>
      <c r="G97" s="45">
        <f t="shared" si="3"/>
        <v>444.45</v>
      </c>
      <c r="H97" s="35">
        <f>IF(ISBLANK('FBPQ T4'!E89)," ",'FBPQ T4'!AE89)</f>
        <v>6</v>
      </c>
      <c r="I97" s="35">
        <f t="shared" si="4"/>
        <v>2666.7</v>
      </c>
      <c r="J97" s="56"/>
      <c r="K97" s="49"/>
      <c r="L97" s="50"/>
      <c r="M97" s="49"/>
      <c r="N97" s="60"/>
      <c r="O97" s="59"/>
    </row>
    <row r="98" spans="1:15" ht="12.75">
      <c r="A98" s="39"/>
      <c r="B98" s="34"/>
      <c r="C98" s="35" t="s">
        <v>130</v>
      </c>
      <c r="D98" s="39" t="s">
        <v>718</v>
      </c>
      <c r="E98" s="6">
        <f>IF(ISNUMBER('FBPQ C2'!J90),'FBPQ C2'!J90,IF(ISNUMBER('FBPQ C2'!I90),'FBPQ C2'!I90,""))</f>
        <v>444.45</v>
      </c>
      <c r="F98" s="45" t="s">
        <v>782</v>
      </c>
      <c r="G98" s="45">
        <f t="shared" si="3"/>
        <v>444.45</v>
      </c>
      <c r="H98" s="35">
        <f>IF(ISBLANK('FBPQ T4'!E90)," ",'FBPQ T4'!AE90)</f>
        <v>2</v>
      </c>
      <c r="I98" s="35">
        <f t="shared" si="4"/>
        <v>888.9</v>
      </c>
      <c r="J98" s="56"/>
      <c r="K98" s="49"/>
      <c r="L98" s="50"/>
      <c r="M98" s="49"/>
      <c r="N98" s="60"/>
      <c r="O98" s="59"/>
    </row>
    <row r="99" spans="1:15" ht="12.75">
      <c r="A99" s="39"/>
      <c r="B99" s="34"/>
      <c r="C99" s="35" t="s">
        <v>131</v>
      </c>
      <c r="D99" s="39" t="s">
        <v>718</v>
      </c>
      <c r="E99" s="6">
        <f>IF(ISNUMBER('FBPQ C2'!J91),'FBPQ C2'!J91,IF(ISNUMBER('FBPQ C2'!I91),'FBPQ C2'!I91,""))</f>
        <v>444.45</v>
      </c>
      <c r="F99" s="45" t="s">
        <v>782</v>
      </c>
      <c r="G99" s="45">
        <f t="shared" si="3"/>
        <v>444.45</v>
      </c>
      <c r="H99" s="35">
        <f>IF(ISBLANK('FBPQ T4'!E91)," ",'FBPQ T4'!AE91)</f>
        <v>1</v>
      </c>
      <c r="I99" s="35">
        <f t="shared" si="4"/>
        <v>444.45</v>
      </c>
      <c r="J99" s="56"/>
      <c r="K99" s="49"/>
      <c r="L99" s="50"/>
      <c r="M99" s="49"/>
      <c r="N99" s="60"/>
      <c r="O99" s="61"/>
    </row>
    <row r="100" spans="1:15" ht="12.75">
      <c r="A100" s="39"/>
      <c r="B100" s="34"/>
      <c r="C100" s="35"/>
      <c r="D100" s="39"/>
      <c r="E100" s="6">
        <f>IF(ISNUMBER('FBPQ C2'!J92),'FBPQ C2'!J92,IF(ISNUMBER('FBPQ C2'!I92),'FBPQ C2'!I92,""))</f>
      </c>
      <c r="F100" s="45"/>
      <c r="G100" s="45">
        <f t="shared" si="3"/>
        <v>0</v>
      </c>
      <c r="H100" s="35" t="str">
        <f>IF(ISBLANK('FBPQ T4'!E92)," ",'FBPQ T4'!AE92)</f>
        <v> </v>
      </c>
      <c r="I100" s="35" t="str">
        <f t="shared" si="4"/>
        <v> </v>
      </c>
      <c r="J100" s="56"/>
      <c r="K100" s="49"/>
      <c r="L100" s="49"/>
      <c r="M100" s="49"/>
      <c r="N100" s="60"/>
      <c r="O100" s="61"/>
    </row>
    <row r="101" spans="1:15" ht="12.75">
      <c r="A101" s="39"/>
      <c r="B101" s="34" t="s">
        <v>597</v>
      </c>
      <c r="C101" s="35"/>
      <c r="D101" s="39"/>
      <c r="E101" s="6">
        <f>IF(ISNUMBER('FBPQ C2'!J93),'FBPQ C2'!J93,IF(ISNUMBER('FBPQ C2'!I93),'FBPQ C2'!I93,""))</f>
      </c>
      <c r="F101" s="45"/>
      <c r="G101" s="45">
        <f t="shared" si="3"/>
        <v>0</v>
      </c>
      <c r="H101" s="35" t="str">
        <f>IF(ISBLANK('FBPQ T4'!E93)," ",'FBPQ T4'!AE93)</f>
        <v> </v>
      </c>
      <c r="I101" s="35" t="str">
        <f t="shared" si="4"/>
        <v> </v>
      </c>
      <c r="J101" s="56"/>
      <c r="K101" s="49"/>
      <c r="L101" s="50"/>
      <c r="M101" s="49"/>
      <c r="N101" s="60"/>
      <c r="O101" s="59"/>
    </row>
    <row r="102" spans="1:15" ht="12.75">
      <c r="A102" s="39"/>
      <c r="B102" s="34"/>
      <c r="C102" s="35" t="s">
        <v>84</v>
      </c>
      <c r="D102" s="39" t="s">
        <v>718</v>
      </c>
      <c r="E102" s="6">
        <f>IF(ISNUMBER('FBPQ C2'!J94),'FBPQ C2'!J94,IF(ISNUMBER('FBPQ C2'!I94),'FBPQ C2'!I94,""))</f>
        <v>1134.52</v>
      </c>
      <c r="F102" s="45" t="s">
        <v>782</v>
      </c>
      <c r="G102" s="45">
        <f t="shared" si="3"/>
        <v>1134.52</v>
      </c>
      <c r="H102" s="35">
        <f>IF(ISBLANK('FBPQ T4'!E94)," ",'FBPQ T4'!AE94)</f>
        <v>1.3</v>
      </c>
      <c r="I102" s="35">
        <f t="shared" si="4"/>
        <v>1474.876</v>
      </c>
      <c r="J102" s="56"/>
      <c r="K102" s="49"/>
      <c r="L102" s="49"/>
      <c r="M102" s="49"/>
      <c r="N102" s="60"/>
      <c r="O102" s="61"/>
    </row>
    <row r="103" spans="1:15" ht="12.75">
      <c r="A103" s="39"/>
      <c r="B103" s="34"/>
      <c r="C103" s="35"/>
      <c r="D103" s="39"/>
      <c r="E103" s="6">
        <f>IF(ISNUMBER('FBPQ C2'!J95),'FBPQ C2'!J95,IF(ISNUMBER('FBPQ C2'!I95),'FBPQ C2'!I95,""))</f>
      </c>
      <c r="F103" s="45"/>
      <c r="G103" s="45">
        <f t="shared" si="3"/>
        <v>0</v>
      </c>
      <c r="H103" s="35" t="str">
        <f>IF(ISBLANK('FBPQ T4'!E95)," ",'FBPQ T4'!AE95)</f>
        <v> </v>
      </c>
      <c r="I103" s="35" t="str">
        <f t="shared" si="4"/>
        <v> </v>
      </c>
      <c r="J103" s="56"/>
      <c r="K103" s="49"/>
      <c r="L103" s="50"/>
      <c r="M103" s="49"/>
      <c r="N103" s="60"/>
      <c r="O103" s="61"/>
    </row>
    <row r="104" spans="1:15" ht="12.75">
      <c r="A104" s="39"/>
      <c r="B104" s="34" t="s">
        <v>320</v>
      </c>
      <c r="C104" s="35"/>
      <c r="D104" s="39"/>
      <c r="E104" s="6">
        <f>IF(ISNUMBER('FBPQ C2'!J96),'FBPQ C2'!J96,IF(ISNUMBER('FBPQ C2'!I96),'FBPQ C2'!I96,""))</f>
      </c>
      <c r="F104" s="45"/>
      <c r="G104" s="45">
        <f t="shared" si="3"/>
        <v>0</v>
      </c>
      <c r="H104" s="35" t="str">
        <f>IF(ISBLANK('FBPQ T4'!E96)," ",'FBPQ T4'!AE96)</f>
        <v> </v>
      </c>
      <c r="I104" s="35" t="str">
        <f t="shared" si="4"/>
        <v> </v>
      </c>
      <c r="J104" s="56"/>
      <c r="K104" s="49"/>
      <c r="L104" s="50"/>
      <c r="M104" s="49"/>
      <c r="N104" s="60"/>
      <c r="O104" s="59"/>
    </row>
    <row r="105" spans="1:15" ht="12.75">
      <c r="A105" s="39"/>
      <c r="B105" s="34"/>
      <c r="C105" s="35" t="s">
        <v>85</v>
      </c>
      <c r="D105" s="39" t="s">
        <v>429</v>
      </c>
      <c r="E105" s="6">
        <f>IF(ISNUMBER('FBPQ C2'!J97),'FBPQ C2'!J97,IF(ISNUMBER('FBPQ C2'!I97),'FBPQ C2'!I97,""))</f>
        <v>66.58</v>
      </c>
      <c r="F105" s="45" t="s">
        <v>782</v>
      </c>
      <c r="G105" s="45">
        <f t="shared" si="3"/>
        <v>66.58</v>
      </c>
      <c r="H105" s="35">
        <f>IF(ISBLANK('FBPQ T4'!E97)," ",'FBPQ T4'!AE97)</f>
        <v>311</v>
      </c>
      <c r="I105" s="35">
        <f t="shared" si="4"/>
        <v>20706.38</v>
      </c>
      <c r="J105" s="56"/>
      <c r="K105" s="49"/>
      <c r="L105" s="50"/>
      <c r="M105" s="65"/>
      <c r="N105" s="60"/>
      <c r="O105" s="59"/>
    </row>
    <row r="106" spans="1:15" ht="12.75">
      <c r="A106" s="39"/>
      <c r="B106" s="34"/>
      <c r="C106" s="35" t="s">
        <v>86</v>
      </c>
      <c r="D106" s="39" t="s">
        <v>429</v>
      </c>
      <c r="E106" s="6">
        <f>IF(ISNUMBER('FBPQ C2'!J98),'FBPQ C2'!J98,IF(ISNUMBER('FBPQ C2'!I98),'FBPQ C2'!I98,""))</f>
        <v>51.4</v>
      </c>
      <c r="F106" s="45" t="s">
        <v>782</v>
      </c>
      <c r="G106" s="45">
        <f t="shared" si="3"/>
        <v>51.4</v>
      </c>
      <c r="H106" s="35">
        <f>IF(ISBLANK('FBPQ T4'!E98)," ",'FBPQ T4'!AE98)</f>
        <v>274</v>
      </c>
      <c r="I106" s="35">
        <f t="shared" si="4"/>
        <v>14083.6</v>
      </c>
      <c r="J106" s="56"/>
      <c r="K106" s="49"/>
      <c r="L106" s="50"/>
      <c r="M106" s="65"/>
      <c r="N106" s="60"/>
      <c r="O106" s="59"/>
    </row>
    <row r="107" spans="1:15" ht="12.75">
      <c r="A107" s="39"/>
      <c r="B107" s="34"/>
      <c r="C107" s="35" t="s">
        <v>87</v>
      </c>
      <c r="D107" s="39" t="s">
        <v>429</v>
      </c>
      <c r="E107" s="6">
        <f>IF(ISNUMBER('FBPQ C2'!J99),'FBPQ C2'!J99,IF(ISNUMBER('FBPQ C2'!I99),'FBPQ C2'!I99,""))</f>
        <v>33.17</v>
      </c>
      <c r="F107" s="45" t="s">
        <v>782</v>
      </c>
      <c r="G107" s="45">
        <f t="shared" si="3"/>
        <v>33.17</v>
      </c>
      <c r="H107" s="35">
        <f>IF(ISBLANK('FBPQ T4'!E99)," ",'FBPQ T4'!AE99)</f>
        <v>16</v>
      </c>
      <c r="I107" s="35">
        <f t="shared" si="4"/>
        <v>530.72</v>
      </c>
      <c r="J107" s="56"/>
      <c r="K107" s="49"/>
      <c r="L107" s="50"/>
      <c r="M107" s="65"/>
      <c r="N107" s="60"/>
      <c r="O107" s="59"/>
    </row>
    <row r="108" spans="1:15" ht="12.75">
      <c r="A108" s="39"/>
      <c r="B108" s="34"/>
      <c r="C108" s="35" t="s">
        <v>88</v>
      </c>
      <c r="D108" s="39" t="s">
        <v>429</v>
      </c>
      <c r="E108" s="6">
        <f>IF(ISNUMBER('FBPQ C2'!J100),'FBPQ C2'!J100,IF(ISNUMBER('FBPQ C2'!I100),'FBPQ C2'!I100,""))</f>
      </c>
      <c r="F108" s="45" t="s">
        <v>782</v>
      </c>
      <c r="G108" s="45" t="str">
        <f t="shared" si="3"/>
        <v> </v>
      </c>
      <c r="H108" s="35">
        <f>IF(ISBLANK('FBPQ T4'!E100)," ",'FBPQ T4'!AE100)</f>
        <v>0</v>
      </c>
      <c r="I108" s="35" t="str">
        <f t="shared" si="4"/>
        <v> </v>
      </c>
      <c r="J108" s="56"/>
      <c r="K108" s="49"/>
      <c r="L108" s="50"/>
      <c r="M108" s="65"/>
      <c r="N108" s="60"/>
      <c r="O108" s="59"/>
    </row>
    <row r="109" spans="1:15" ht="12.75">
      <c r="A109" s="39"/>
      <c r="B109" s="34"/>
      <c r="C109" s="35" t="s">
        <v>89</v>
      </c>
      <c r="D109" s="39" t="s">
        <v>429</v>
      </c>
      <c r="E109" s="6">
        <f>IF(ISNUMBER('FBPQ C2'!J101),'FBPQ C2'!J101,IF(ISNUMBER('FBPQ C2'!I101),'FBPQ C2'!I101,""))</f>
      </c>
      <c r="F109" s="45" t="s">
        <v>782</v>
      </c>
      <c r="G109" s="45" t="str">
        <f t="shared" si="3"/>
        <v> </v>
      </c>
      <c r="H109" s="35">
        <f>IF(ISBLANK('FBPQ T4'!E101)," ",'FBPQ T4'!AE101)</f>
        <v>0</v>
      </c>
      <c r="I109" s="35" t="str">
        <f t="shared" si="4"/>
        <v> </v>
      </c>
      <c r="J109" s="56"/>
      <c r="K109" s="49"/>
      <c r="L109" s="50"/>
      <c r="M109" s="65"/>
      <c r="N109" s="60"/>
      <c r="O109" s="62"/>
    </row>
    <row r="110" spans="1:15" ht="12.75">
      <c r="A110" s="39"/>
      <c r="B110" s="34"/>
      <c r="C110" s="35" t="s">
        <v>90</v>
      </c>
      <c r="D110" s="39" t="s">
        <v>429</v>
      </c>
      <c r="E110" s="6">
        <f>IF(ISNUMBER('FBPQ C2'!J102),'FBPQ C2'!J102,IF(ISNUMBER('FBPQ C2'!I102),'FBPQ C2'!I102,""))</f>
      </c>
      <c r="F110" s="45" t="s">
        <v>782</v>
      </c>
      <c r="G110" s="45" t="str">
        <f t="shared" si="3"/>
        <v>DATA</v>
      </c>
      <c r="H110" s="35">
        <f>IF(ISBLANK('FBPQ T4'!E102)," ",'FBPQ T4'!AE102)</f>
        <v>1074</v>
      </c>
      <c r="I110" s="35" t="str">
        <f t="shared" si="4"/>
        <v> </v>
      </c>
      <c r="J110" s="56"/>
      <c r="K110" s="49"/>
      <c r="L110" s="50"/>
      <c r="M110" s="65"/>
      <c r="N110" s="60"/>
      <c r="O110" s="59"/>
    </row>
    <row r="111" spans="1:15" ht="12.75">
      <c r="A111" s="39"/>
      <c r="B111" s="34"/>
      <c r="C111" s="35" t="s">
        <v>91</v>
      </c>
      <c r="D111" s="39" t="s">
        <v>429</v>
      </c>
      <c r="E111" s="6">
        <f>IF(ISNUMBER('FBPQ C2'!J103),'FBPQ C2'!J103,IF(ISNUMBER('FBPQ C2'!I103),'FBPQ C2'!I103,""))</f>
        <v>88.11</v>
      </c>
      <c r="F111" s="45" t="s">
        <v>782</v>
      </c>
      <c r="G111" s="45">
        <f t="shared" si="3"/>
        <v>88.11</v>
      </c>
      <c r="H111" s="35">
        <f>IF(ISBLANK('FBPQ T4'!E103)," ",'FBPQ T4'!AE103)</f>
        <v>53</v>
      </c>
      <c r="I111" s="35">
        <f t="shared" si="4"/>
        <v>4669.83</v>
      </c>
      <c r="J111" s="56"/>
      <c r="K111" s="49"/>
      <c r="L111" s="50"/>
      <c r="M111" s="65"/>
      <c r="N111" s="60"/>
      <c r="O111" s="62"/>
    </row>
    <row r="112" spans="1:15" ht="12.75">
      <c r="A112" s="39"/>
      <c r="B112" s="34"/>
      <c r="C112" s="35" t="s">
        <v>92</v>
      </c>
      <c r="D112" s="39" t="s">
        <v>429</v>
      </c>
      <c r="E112" s="6">
        <f>IF(ISNUMBER('FBPQ C2'!J104),'FBPQ C2'!J104,IF(ISNUMBER('FBPQ C2'!I104),'FBPQ C2'!I104,""))</f>
      </c>
      <c r="F112" s="45" t="s">
        <v>782</v>
      </c>
      <c r="G112" s="45" t="str">
        <f t="shared" si="3"/>
        <v>DATA</v>
      </c>
      <c r="H112" s="35">
        <f>IF(ISBLANK('FBPQ T4'!E104)," ",'FBPQ T4'!AE104)</f>
        <v>233</v>
      </c>
      <c r="I112" s="35" t="str">
        <f t="shared" si="4"/>
        <v> </v>
      </c>
      <c r="J112" s="56"/>
      <c r="K112" s="49"/>
      <c r="L112" s="50"/>
      <c r="M112" s="65"/>
      <c r="N112" s="60"/>
      <c r="O112" s="61"/>
    </row>
    <row r="113" spans="1:15" ht="12.75">
      <c r="A113" s="39"/>
      <c r="B113" s="34"/>
      <c r="C113" s="35"/>
      <c r="D113" s="39"/>
      <c r="E113" s="6">
        <f>IF(ISNUMBER('FBPQ C2'!J105),'FBPQ C2'!J105,IF(ISNUMBER('FBPQ C2'!I105),'FBPQ C2'!I105,""))</f>
      </c>
      <c r="F113" s="45"/>
      <c r="G113" s="45">
        <f t="shared" si="3"/>
        <v>0</v>
      </c>
      <c r="H113" s="35" t="str">
        <f>IF(ISBLANK('FBPQ T4'!E105)," ",'FBPQ T4'!AE105)</f>
        <v> </v>
      </c>
      <c r="I113" s="35" t="str">
        <f t="shared" si="4"/>
        <v> </v>
      </c>
      <c r="J113" s="56"/>
      <c r="K113" s="49"/>
      <c r="L113" s="50"/>
      <c r="M113" s="49"/>
      <c r="N113" s="60"/>
      <c r="O113" s="61"/>
    </row>
    <row r="114" spans="1:15" ht="12.75">
      <c r="A114" s="39"/>
      <c r="B114" s="34" t="s">
        <v>227</v>
      </c>
      <c r="C114" s="35"/>
      <c r="D114" s="39"/>
      <c r="E114" s="6">
        <f>IF(ISNUMBER('FBPQ C2'!J106),'FBPQ C2'!J106,IF(ISNUMBER('FBPQ C2'!I106),'FBPQ C2'!I106,""))</f>
      </c>
      <c r="F114" s="45"/>
      <c r="G114" s="45">
        <f t="shared" si="3"/>
        <v>0</v>
      </c>
      <c r="H114" s="35" t="str">
        <f>IF(ISBLANK('FBPQ T4'!E106)," ",'FBPQ T4'!AE106)</f>
        <v> </v>
      </c>
      <c r="I114" s="35" t="str">
        <f t="shared" si="4"/>
        <v> </v>
      </c>
      <c r="J114" s="56"/>
      <c r="K114" s="49"/>
      <c r="L114" s="50"/>
      <c r="M114" s="49"/>
      <c r="N114" s="60"/>
      <c r="O114" s="59"/>
    </row>
    <row r="115" spans="1:15" ht="12.75">
      <c r="A115" s="39"/>
      <c r="B115" s="34"/>
      <c r="C115" s="35" t="s">
        <v>93</v>
      </c>
      <c r="D115" s="39" t="s">
        <v>429</v>
      </c>
      <c r="E115" s="6">
        <f>IF(ISNUMBER('FBPQ C2'!J107),'FBPQ C2'!J107,IF(ISNUMBER('FBPQ C2'!I107),'FBPQ C2'!I107,""))</f>
      </c>
      <c r="F115" s="45" t="s">
        <v>782</v>
      </c>
      <c r="G115" s="45" t="str">
        <f t="shared" si="3"/>
        <v> </v>
      </c>
      <c r="H115" s="35">
        <f>IF(ISBLANK('FBPQ T4'!E107)," ",'FBPQ T4'!AE107)</f>
        <v>0</v>
      </c>
      <c r="I115" s="35" t="str">
        <f t="shared" si="4"/>
        <v> </v>
      </c>
      <c r="J115" s="56"/>
      <c r="K115" s="49"/>
      <c r="L115" s="49"/>
      <c r="M115" s="65"/>
      <c r="N115" s="60"/>
      <c r="O115" s="59"/>
    </row>
    <row r="116" spans="1:15" ht="12.75">
      <c r="A116" s="39"/>
      <c r="B116" s="34"/>
      <c r="C116" s="35" t="s">
        <v>94</v>
      </c>
      <c r="D116" s="39" t="s">
        <v>429</v>
      </c>
      <c r="E116" s="6">
        <f>IF(ISNUMBER('FBPQ C2'!J108),'FBPQ C2'!J108,IF(ISNUMBER('FBPQ C2'!I108),'FBPQ C2'!I108,""))</f>
        <v>262.73</v>
      </c>
      <c r="F116" s="45" t="s">
        <v>782</v>
      </c>
      <c r="G116" s="45">
        <f aca="true" t="shared" si="5" ref="G116:G147">IF(ISNUMBER(E116),E116,IF(H116&gt;0,F116," "))</f>
        <v>262.73</v>
      </c>
      <c r="H116" s="35">
        <f>IF(ISBLANK('FBPQ T4'!E108)," ",'FBPQ T4'!AE108)</f>
        <v>247</v>
      </c>
      <c r="I116" s="35">
        <f t="shared" si="4"/>
        <v>64894.310000000005</v>
      </c>
      <c r="J116" s="56"/>
      <c r="K116" s="49"/>
      <c r="L116" s="49"/>
      <c r="M116" s="65"/>
      <c r="N116" s="60"/>
      <c r="O116" s="62"/>
    </row>
    <row r="117" spans="1:15" ht="12.75">
      <c r="A117" s="39"/>
      <c r="B117" s="34"/>
      <c r="C117" s="35" t="s">
        <v>95</v>
      </c>
      <c r="D117" s="39" t="s">
        <v>429</v>
      </c>
      <c r="E117" s="6">
        <f>IF(ISNUMBER('FBPQ C2'!J109),'FBPQ C2'!J109,IF(ISNUMBER('FBPQ C2'!I109),'FBPQ C2'!I109,""))</f>
      </c>
      <c r="F117" s="45" t="s">
        <v>782</v>
      </c>
      <c r="G117" s="45" t="str">
        <f t="shared" si="5"/>
        <v>DATA</v>
      </c>
      <c r="H117" s="35">
        <f>IF(ISBLANK('FBPQ T4'!E109)," ",'FBPQ T4'!AE109)</f>
        <v>244</v>
      </c>
      <c r="I117" s="35" t="str">
        <f t="shared" si="4"/>
        <v> </v>
      </c>
      <c r="J117" s="56"/>
      <c r="K117" s="49"/>
      <c r="L117" s="49"/>
      <c r="M117" s="49"/>
      <c r="N117" s="60"/>
      <c r="O117" s="59"/>
    </row>
    <row r="118" spans="1:15" ht="12.75">
      <c r="A118" s="39"/>
      <c r="B118" s="34"/>
      <c r="C118" s="35" t="s">
        <v>275</v>
      </c>
      <c r="D118" s="39" t="s">
        <v>429</v>
      </c>
      <c r="E118" s="6">
        <f>IF(ISNUMBER('FBPQ C2'!J110),'FBPQ C2'!J110,IF(ISNUMBER('FBPQ C2'!I110),'FBPQ C2'!I110,""))</f>
        <v>457.92</v>
      </c>
      <c r="F118" s="45" t="s">
        <v>782</v>
      </c>
      <c r="G118" s="45">
        <f t="shared" si="5"/>
        <v>457.92</v>
      </c>
      <c r="H118" s="35">
        <f>IF(ISBLANK('FBPQ T4'!E110)," ",'FBPQ T4'!AE110)</f>
        <v>30</v>
      </c>
      <c r="I118" s="35">
        <f t="shared" si="4"/>
        <v>13737.6</v>
      </c>
      <c r="J118" s="56"/>
      <c r="K118" s="49"/>
      <c r="L118" s="49"/>
      <c r="M118" s="65"/>
      <c r="N118" s="60"/>
      <c r="O118" s="62"/>
    </row>
    <row r="119" spans="1:15" ht="12.75">
      <c r="A119" s="39"/>
      <c r="B119" s="34"/>
      <c r="C119" s="35" t="s">
        <v>276</v>
      </c>
      <c r="D119" s="39" t="s">
        <v>429</v>
      </c>
      <c r="E119" s="6">
        <f>IF(ISNUMBER('FBPQ C2'!J111),'FBPQ C2'!J111,IF(ISNUMBER('FBPQ C2'!I111),'FBPQ C2'!I111,""))</f>
      </c>
      <c r="F119" s="45" t="s">
        <v>782</v>
      </c>
      <c r="G119" s="45" t="str">
        <f t="shared" si="5"/>
        <v> </v>
      </c>
      <c r="H119" s="35">
        <f>IF(ISBLANK('FBPQ T4'!E111)," ",'FBPQ T4'!AE111)</f>
        <v>0</v>
      </c>
      <c r="I119" s="35" t="str">
        <f t="shared" si="4"/>
        <v> </v>
      </c>
      <c r="J119" s="56"/>
      <c r="K119" s="49"/>
      <c r="L119" s="50"/>
      <c r="M119" s="49"/>
      <c r="N119" s="60"/>
      <c r="O119" s="61"/>
    </row>
    <row r="120" spans="1:15" ht="12.75">
      <c r="A120" s="39"/>
      <c r="B120" s="34"/>
      <c r="C120" s="35"/>
      <c r="D120" s="39"/>
      <c r="E120" s="6">
        <f>IF(ISNUMBER('FBPQ C2'!J112),'FBPQ C2'!J112,IF(ISNUMBER('FBPQ C2'!I112),'FBPQ C2'!I112,""))</f>
      </c>
      <c r="F120" s="45"/>
      <c r="G120" s="45">
        <f t="shared" si="5"/>
        <v>0</v>
      </c>
      <c r="H120" s="35" t="str">
        <f>IF(ISBLANK('FBPQ T4'!E112)," ",'FBPQ T4'!AE112)</f>
        <v> </v>
      </c>
      <c r="I120" s="35" t="str">
        <f t="shared" si="4"/>
        <v> </v>
      </c>
      <c r="J120" s="63"/>
      <c r="K120" s="63"/>
      <c r="L120" s="63"/>
      <c r="M120" s="63"/>
      <c r="N120" s="64"/>
      <c r="O120" s="61"/>
    </row>
    <row r="121" spans="1:15" ht="12.75">
      <c r="A121" s="39" t="s">
        <v>277</v>
      </c>
      <c r="B121" s="34"/>
      <c r="C121" s="35"/>
      <c r="D121" s="39"/>
      <c r="E121" s="6">
        <f>IF(ISNUMBER('FBPQ C2'!J113),'FBPQ C2'!J113,IF(ISNUMBER('FBPQ C2'!I113),'FBPQ C2'!I113,""))</f>
      </c>
      <c r="F121" s="45"/>
      <c r="G121" s="45">
        <f t="shared" si="5"/>
        <v>0</v>
      </c>
      <c r="H121" s="35" t="str">
        <f>IF(ISBLANK('FBPQ T4'!E113)," ",'FBPQ T4'!AE113)</f>
        <v> </v>
      </c>
      <c r="I121" s="35" t="str">
        <f t="shared" si="4"/>
        <v> </v>
      </c>
      <c r="J121" s="49"/>
      <c r="K121" s="48"/>
      <c r="L121" s="48"/>
      <c r="M121" s="65"/>
      <c r="N121" s="60"/>
      <c r="O121" s="61"/>
    </row>
    <row r="122" spans="1:15" ht="12.75">
      <c r="A122" s="39"/>
      <c r="B122" s="34" t="s">
        <v>789</v>
      </c>
      <c r="C122" s="35"/>
      <c r="D122" s="39"/>
      <c r="E122" s="6">
        <f>IF(ISNUMBER('FBPQ C2'!J114),'FBPQ C2'!J114,IF(ISNUMBER('FBPQ C2'!I114),'FBPQ C2'!I114,""))</f>
      </c>
      <c r="F122" s="45"/>
      <c r="G122" s="45">
        <f t="shared" si="5"/>
        <v>0</v>
      </c>
      <c r="H122" s="35" t="str">
        <f>IF(ISBLANK('FBPQ T4'!E114)," ",'FBPQ T4'!AE114)</f>
        <v> </v>
      </c>
      <c r="I122" s="35" t="str">
        <f t="shared" si="4"/>
        <v> </v>
      </c>
      <c r="J122" s="56"/>
      <c r="K122" s="49"/>
      <c r="L122" s="50"/>
      <c r="M122" s="49"/>
      <c r="N122" s="60"/>
      <c r="O122" s="59"/>
    </row>
    <row r="123" spans="1:15" ht="12.75">
      <c r="A123" s="39"/>
      <c r="B123" s="34"/>
      <c r="C123" s="35" t="s">
        <v>278</v>
      </c>
      <c r="D123" s="39" t="s">
        <v>718</v>
      </c>
      <c r="E123" s="6">
        <f>IF(ISNUMBER('FBPQ C2'!J115),'FBPQ C2'!J115,IF(ISNUMBER('FBPQ C2'!I115),'FBPQ C2'!I115,""))</f>
        <v>52.85</v>
      </c>
      <c r="F123" s="45" t="s">
        <v>782</v>
      </c>
      <c r="G123" s="45">
        <f t="shared" si="5"/>
        <v>52.85</v>
      </c>
      <c r="H123" s="35">
        <f>IF(ISBLANK('FBPQ T4'!E115)," ",'FBPQ T4'!AE115)</f>
        <v>91</v>
      </c>
      <c r="I123" s="35">
        <f t="shared" si="4"/>
        <v>4809.35</v>
      </c>
      <c r="J123" s="56"/>
      <c r="K123" s="49"/>
      <c r="L123" s="50"/>
      <c r="M123" s="49"/>
      <c r="N123" s="60"/>
      <c r="O123" s="59"/>
    </row>
    <row r="124" spans="1:15" ht="12.75">
      <c r="A124" s="39"/>
      <c r="B124" s="34"/>
      <c r="C124" s="35" t="s">
        <v>279</v>
      </c>
      <c r="D124" s="39" t="s">
        <v>718</v>
      </c>
      <c r="E124" s="6">
        <f>IF(ISNUMBER('FBPQ C2'!J116),'FBPQ C2'!J116,IF(ISNUMBER('FBPQ C2'!I116),'FBPQ C2'!I116,""))</f>
        <v>53.51</v>
      </c>
      <c r="F124" s="45" t="s">
        <v>782</v>
      </c>
      <c r="G124" s="45">
        <f t="shared" si="5"/>
        <v>53.51</v>
      </c>
      <c r="H124" s="35">
        <f>IF(ISBLANK('FBPQ T4'!E116)," ",'FBPQ T4'!AE116)</f>
        <v>1089</v>
      </c>
      <c r="I124" s="35">
        <f t="shared" si="4"/>
        <v>58272.39</v>
      </c>
      <c r="J124" s="56"/>
      <c r="K124" s="49"/>
      <c r="L124" s="50"/>
      <c r="M124" s="49"/>
      <c r="N124" s="60"/>
      <c r="O124" s="61"/>
    </row>
    <row r="125" spans="1:15" ht="12.75">
      <c r="A125" s="39"/>
      <c r="B125" s="34"/>
      <c r="C125" s="35"/>
      <c r="D125" s="39"/>
      <c r="E125" s="6">
        <f>IF(ISNUMBER('FBPQ C2'!J117),'FBPQ C2'!J117,IF(ISNUMBER('FBPQ C2'!I117),'FBPQ C2'!I117,""))</f>
      </c>
      <c r="F125" s="45"/>
      <c r="G125" s="45">
        <f t="shared" si="5"/>
        <v>0</v>
      </c>
      <c r="H125" s="35" t="str">
        <f>IF(ISBLANK('FBPQ T4'!E117)," ",'FBPQ T4'!AE117)</f>
        <v> </v>
      </c>
      <c r="I125" s="35" t="str">
        <f t="shared" si="4"/>
        <v> </v>
      </c>
      <c r="J125" s="56"/>
      <c r="K125" s="49"/>
      <c r="L125" s="50"/>
      <c r="M125" s="65"/>
      <c r="N125" s="60"/>
      <c r="O125" s="61"/>
    </row>
    <row r="126" spans="1:15" ht="12.75">
      <c r="A126" s="39"/>
      <c r="B126" s="34" t="s">
        <v>430</v>
      </c>
      <c r="C126" s="35"/>
      <c r="D126" s="39"/>
      <c r="E126" s="6">
        <f>IF(ISNUMBER('FBPQ C2'!J118),'FBPQ C2'!J118,IF(ISNUMBER('FBPQ C2'!I118),'FBPQ C2'!I118,""))</f>
      </c>
      <c r="F126" s="45"/>
      <c r="G126" s="45">
        <f t="shared" si="5"/>
        <v>0</v>
      </c>
      <c r="H126" s="35" t="str">
        <f>IF(ISBLANK('FBPQ T4'!E118)," ",'FBPQ T4'!AE118)</f>
        <v> </v>
      </c>
      <c r="I126" s="35" t="str">
        <f t="shared" si="4"/>
        <v> </v>
      </c>
      <c r="J126" s="56"/>
      <c r="K126" s="49"/>
      <c r="L126" s="50"/>
      <c r="M126" s="49"/>
      <c r="N126" s="60"/>
      <c r="O126" s="59"/>
    </row>
    <row r="127" spans="1:15" ht="12.75">
      <c r="A127" s="39"/>
      <c r="B127" s="34"/>
      <c r="C127" s="35" t="s">
        <v>280</v>
      </c>
      <c r="D127" s="39" t="s">
        <v>429</v>
      </c>
      <c r="E127" s="6">
        <f>IF(ISNUMBER('FBPQ C2'!J119),'FBPQ C2'!J119,IF(ISNUMBER('FBPQ C2'!I119),'FBPQ C2'!I119,""))</f>
        <v>3.64</v>
      </c>
      <c r="F127" s="45" t="s">
        <v>782</v>
      </c>
      <c r="G127" s="45">
        <f t="shared" si="5"/>
        <v>3.64</v>
      </c>
      <c r="H127" s="35">
        <f>IF(ISBLANK('FBPQ T4'!E119)," ",'FBPQ T4'!AE119)</f>
        <v>835</v>
      </c>
      <c r="I127" s="35">
        <f t="shared" si="4"/>
        <v>3039.4</v>
      </c>
      <c r="J127" s="56"/>
      <c r="K127" s="49"/>
      <c r="L127" s="50"/>
      <c r="M127" s="49"/>
      <c r="N127" s="60"/>
      <c r="O127" s="59"/>
    </row>
    <row r="128" spans="1:15" ht="12.75">
      <c r="A128" s="39"/>
      <c r="B128" s="34"/>
      <c r="C128" s="35" t="s">
        <v>281</v>
      </c>
      <c r="D128" s="39" t="s">
        <v>429</v>
      </c>
      <c r="E128" s="6">
        <f>IF(ISNUMBER('FBPQ C2'!J120),'FBPQ C2'!J120,IF(ISNUMBER('FBPQ C2'!I120),'FBPQ C2'!I120,""))</f>
        <v>98.62</v>
      </c>
      <c r="F128" s="45" t="s">
        <v>782</v>
      </c>
      <c r="G128" s="45">
        <f t="shared" si="5"/>
        <v>98.62</v>
      </c>
      <c r="H128" s="35">
        <f>IF(ISBLANK('FBPQ T4'!E120)," ",'FBPQ T4'!AE120)</f>
        <v>2354</v>
      </c>
      <c r="I128" s="35">
        <f t="shared" si="4"/>
        <v>232151.48</v>
      </c>
      <c r="J128" s="56"/>
      <c r="K128" s="49"/>
      <c r="L128" s="50"/>
      <c r="M128" s="49"/>
      <c r="N128" s="60"/>
      <c r="O128" s="59"/>
    </row>
    <row r="129" spans="1:15" ht="12.75">
      <c r="A129" s="39"/>
      <c r="B129" s="34"/>
      <c r="C129" s="35" t="s">
        <v>144</v>
      </c>
      <c r="D129" s="39" t="s">
        <v>429</v>
      </c>
      <c r="E129" s="6">
        <f>IF(ISNUMBER('FBPQ C2'!J121),'FBPQ C2'!J121,IF(ISNUMBER('FBPQ C2'!I121),'FBPQ C2'!I121,""))</f>
        <v>3.8</v>
      </c>
      <c r="F129" s="45" t="s">
        <v>782</v>
      </c>
      <c r="G129" s="45">
        <f t="shared" si="5"/>
        <v>3.8</v>
      </c>
      <c r="H129" s="35">
        <f>IF(ISBLANK('FBPQ T4'!E121)," ",'FBPQ T4'!AE121)</f>
        <v>4708</v>
      </c>
      <c r="I129" s="35">
        <f t="shared" si="4"/>
        <v>17890.399999999998</v>
      </c>
      <c r="J129" s="56"/>
      <c r="K129" s="49"/>
      <c r="L129" s="50"/>
      <c r="M129" s="65"/>
      <c r="N129" s="60"/>
      <c r="O129" s="61"/>
    </row>
    <row r="130" spans="1:15" ht="12.75">
      <c r="A130" s="39"/>
      <c r="B130" s="34"/>
      <c r="C130" s="35"/>
      <c r="D130" s="39"/>
      <c r="E130" s="6">
        <f>IF(ISNUMBER('FBPQ C2'!J122),'FBPQ C2'!J122,IF(ISNUMBER('FBPQ C2'!I122),'FBPQ C2'!I122,""))</f>
      </c>
      <c r="F130" s="45"/>
      <c r="G130" s="45">
        <f t="shared" si="5"/>
        <v>0</v>
      </c>
      <c r="H130" s="35" t="str">
        <f>IF(ISBLANK('FBPQ T4'!E122)," ",'FBPQ T4'!AE122)</f>
        <v> </v>
      </c>
      <c r="I130" s="35" t="str">
        <f t="shared" si="4"/>
        <v> </v>
      </c>
      <c r="J130" s="56"/>
      <c r="K130" s="49"/>
      <c r="L130" s="49"/>
      <c r="M130" s="49"/>
      <c r="N130" s="60"/>
      <c r="O130" s="61"/>
    </row>
    <row r="131" spans="1:15" ht="12.75">
      <c r="A131" s="39"/>
      <c r="B131" s="34" t="s">
        <v>455</v>
      </c>
      <c r="C131" s="35"/>
      <c r="D131" s="39"/>
      <c r="E131" s="6">
        <f>IF(ISNUMBER('FBPQ C2'!J123),'FBPQ C2'!J123,IF(ISNUMBER('FBPQ C2'!I123),'FBPQ C2'!I123,""))</f>
      </c>
      <c r="F131" s="45"/>
      <c r="G131" s="45">
        <f t="shared" si="5"/>
        <v>0</v>
      </c>
      <c r="H131" s="35" t="str">
        <f>IF(ISBLANK('FBPQ T4'!E123)," ",'FBPQ T4'!AE123)</f>
        <v> </v>
      </c>
      <c r="I131" s="35" t="str">
        <f t="shared" si="4"/>
        <v> </v>
      </c>
      <c r="J131" s="56"/>
      <c r="K131" s="49"/>
      <c r="L131" s="50"/>
      <c r="M131" s="49"/>
      <c r="N131" s="60"/>
      <c r="O131" s="59"/>
    </row>
    <row r="132" spans="1:15" ht="12.75">
      <c r="A132" s="39"/>
      <c r="B132" s="34"/>
      <c r="C132" s="35" t="s">
        <v>394</v>
      </c>
      <c r="D132" s="39" t="s">
        <v>718</v>
      </c>
      <c r="E132" s="6">
        <f>IF(ISNUMBER('FBPQ C2'!J124),'FBPQ C2'!J124,IF(ISNUMBER('FBPQ C2'!I124),'FBPQ C2'!I124,""))</f>
        <v>0</v>
      </c>
      <c r="F132" s="45" t="s">
        <v>782</v>
      </c>
      <c r="G132" s="45">
        <f t="shared" si="5"/>
        <v>0</v>
      </c>
      <c r="H132" s="35">
        <f>IF(ISBLANK('FBPQ T4'!E124)," ",'FBPQ T4'!AE124)</f>
        <v>35.4</v>
      </c>
      <c r="I132" s="35">
        <f t="shared" si="4"/>
        <v>0</v>
      </c>
      <c r="J132" s="56"/>
      <c r="K132" s="49"/>
      <c r="L132" s="49"/>
      <c r="M132" s="49"/>
      <c r="N132" s="60"/>
      <c r="O132" s="59"/>
    </row>
    <row r="133" spans="1:15" ht="12.75">
      <c r="A133" s="39"/>
      <c r="B133" s="34"/>
      <c r="C133" s="35" t="s">
        <v>393</v>
      </c>
      <c r="D133" s="39" t="s">
        <v>718</v>
      </c>
      <c r="E133" s="6">
        <f>IF(ISNUMBER('FBPQ C2'!J125),'FBPQ C2'!J125,IF(ISNUMBER('FBPQ C2'!I125),'FBPQ C2'!I125,""))</f>
        <v>1323.44</v>
      </c>
      <c r="F133" s="45" t="s">
        <v>782</v>
      </c>
      <c r="G133" s="45">
        <f t="shared" si="5"/>
        <v>1323.44</v>
      </c>
      <c r="H133" s="35">
        <f>IF(ISBLANK('FBPQ T4'!E125)," ",'FBPQ T4'!AE125)</f>
        <v>58</v>
      </c>
      <c r="I133" s="35">
        <f t="shared" si="4"/>
        <v>76759.52</v>
      </c>
      <c r="J133" s="56"/>
      <c r="K133" s="49"/>
      <c r="L133" s="49"/>
      <c r="M133" s="49"/>
      <c r="N133" s="60"/>
      <c r="O133" s="59"/>
    </row>
    <row r="134" spans="1:15" ht="12.75">
      <c r="A134" s="39"/>
      <c r="B134" s="34"/>
      <c r="C134" s="35" t="s">
        <v>357</v>
      </c>
      <c r="D134" s="39" t="s">
        <v>718</v>
      </c>
      <c r="E134" s="6">
        <f>IF(ISNUMBER('FBPQ C2'!J126),'FBPQ C2'!J126,IF(ISNUMBER('FBPQ C2'!I126),'FBPQ C2'!I126,""))</f>
      </c>
      <c r="F134" s="45" t="s">
        <v>782</v>
      </c>
      <c r="G134" s="45" t="str">
        <f t="shared" si="5"/>
        <v> </v>
      </c>
      <c r="H134" s="35">
        <f>IF(ISBLANK('FBPQ T4'!E126)," ",'FBPQ T4'!AE126)</f>
        <v>0</v>
      </c>
      <c r="I134" s="35" t="str">
        <f t="shared" si="4"/>
        <v> </v>
      </c>
      <c r="J134" s="56"/>
      <c r="K134" s="49"/>
      <c r="L134" s="49"/>
      <c r="M134" s="49"/>
      <c r="N134" s="60"/>
      <c r="O134" s="61"/>
    </row>
    <row r="135" spans="1:15" ht="12.75">
      <c r="A135" s="39"/>
      <c r="B135" s="34"/>
      <c r="C135" s="35"/>
      <c r="D135" s="39"/>
      <c r="E135" s="6">
        <f>IF(ISNUMBER('FBPQ C2'!J127),'FBPQ C2'!J127,IF(ISNUMBER('FBPQ C2'!I127),'FBPQ C2'!I127,""))</f>
      </c>
      <c r="F135" s="45"/>
      <c r="G135" s="45">
        <f t="shared" si="5"/>
        <v>0</v>
      </c>
      <c r="H135" s="35" t="str">
        <f>IF(ISBLANK('FBPQ T4'!E127)," ",'FBPQ T4'!AE127)</f>
        <v> </v>
      </c>
      <c r="I135" s="35" t="str">
        <f t="shared" si="4"/>
        <v> </v>
      </c>
      <c r="J135" s="56"/>
      <c r="K135" s="49"/>
      <c r="L135" s="49"/>
      <c r="M135" s="49"/>
      <c r="N135" s="56"/>
      <c r="O135" s="61"/>
    </row>
    <row r="136" spans="1:15" ht="12.75">
      <c r="A136" s="39"/>
      <c r="B136" s="34" t="s">
        <v>597</v>
      </c>
      <c r="C136" s="35"/>
      <c r="D136" s="39"/>
      <c r="E136" s="6">
        <f>IF(ISNUMBER('FBPQ C2'!J128),'FBPQ C2'!J128,IF(ISNUMBER('FBPQ C2'!I128),'FBPQ C2'!I128,""))</f>
      </c>
      <c r="F136" s="45"/>
      <c r="G136" s="45">
        <f t="shared" si="5"/>
        <v>0</v>
      </c>
      <c r="H136" s="35" t="str">
        <f>IF(ISBLANK('FBPQ T4'!E128)," ",'FBPQ T4'!AE128)</f>
        <v> </v>
      </c>
      <c r="I136" s="35" t="str">
        <f t="shared" si="4"/>
        <v> </v>
      </c>
      <c r="J136" s="56"/>
      <c r="K136" s="49"/>
      <c r="L136" s="50"/>
      <c r="M136" s="49"/>
      <c r="N136" s="56"/>
      <c r="O136" s="59"/>
    </row>
    <row r="137" spans="1:15" ht="12.75">
      <c r="A137" s="39"/>
      <c r="B137" s="34"/>
      <c r="C137" s="35" t="s">
        <v>358</v>
      </c>
      <c r="D137" s="39" t="s">
        <v>718</v>
      </c>
      <c r="E137" s="6">
        <f>IF(ISNUMBER('FBPQ C2'!J129),'FBPQ C2'!J129,IF(ISNUMBER('FBPQ C2'!I129),'FBPQ C2'!I129,""))</f>
      </c>
      <c r="F137" s="45" t="s">
        <v>782</v>
      </c>
      <c r="G137" s="45" t="str">
        <f t="shared" si="5"/>
        <v> </v>
      </c>
      <c r="H137" s="35">
        <f>IF(ISBLANK('FBPQ T4'!E129)," ",'FBPQ T4'!AE129)</f>
        <v>0</v>
      </c>
      <c r="I137" s="35" t="str">
        <f t="shared" si="4"/>
        <v> </v>
      </c>
      <c r="J137" s="56"/>
      <c r="K137" s="49"/>
      <c r="L137" s="49"/>
      <c r="M137" s="65"/>
      <c r="N137" s="60"/>
      <c r="O137" s="61"/>
    </row>
    <row r="138" spans="1:15" ht="12.75">
      <c r="A138" s="39"/>
      <c r="B138" s="34"/>
      <c r="C138" s="35"/>
      <c r="D138" s="39"/>
      <c r="E138" s="6">
        <f>IF(ISNUMBER('FBPQ C2'!J130),'FBPQ C2'!J130,IF(ISNUMBER('FBPQ C2'!I130),'FBPQ C2'!I130,""))</f>
      </c>
      <c r="F138" s="45"/>
      <c r="G138" s="45">
        <f t="shared" si="5"/>
        <v>0</v>
      </c>
      <c r="H138" s="35" t="str">
        <f>IF(ISBLANK('FBPQ T4'!E130)," ",'FBPQ T4'!AE130)</f>
        <v> </v>
      </c>
      <c r="I138" s="35" t="str">
        <f t="shared" si="4"/>
        <v> </v>
      </c>
      <c r="J138" s="56"/>
      <c r="K138" s="49"/>
      <c r="L138" s="49"/>
      <c r="M138" s="49"/>
      <c r="N138" s="56"/>
      <c r="O138" s="61"/>
    </row>
    <row r="139" spans="1:15" ht="12.75">
      <c r="A139" s="39"/>
      <c r="B139" s="34" t="s">
        <v>320</v>
      </c>
      <c r="C139" s="35"/>
      <c r="D139" s="39"/>
      <c r="E139" s="6">
        <f>IF(ISNUMBER('FBPQ C2'!J131),'FBPQ C2'!J131,IF(ISNUMBER('FBPQ C2'!I131),'FBPQ C2'!I131,""))</f>
      </c>
      <c r="F139" s="45"/>
      <c r="G139" s="45">
        <f t="shared" si="5"/>
        <v>0</v>
      </c>
      <c r="H139" s="35" t="str">
        <f>IF(ISBLANK('FBPQ T4'!E131)," ",'FBPQ T4'!AE131)</f>
        <v> </v>
      </c>
      <c r="I139" s="35" t="str">
        <f t="shared" si="4"/>
        <v> </v>
      </c>
      <c r="J139" s="56"/>
      <c r="K139" s="49"/>
      <c r="L139" s="50"/>
      <c r="M139" s="49"/>
      <c r="N139" s="56"/>
      <c r="O139" s="59"/>
    </row>
    <row r="140" spans="1:15" ht="12.75">
      <c r="A140" s="39"/>
      <c r="B140" s="34"/>
      <c r="C140" s="35" t="s">
        <v>359</v>
      </c>
      <c r="D140" s="39" t="s">
        <v>429</v>
      </c>
      <c r="E140" s="6">
        <f>IF(ISNUMBER('FBPQ C2'!J132),'FBPQ C2'!J132,IF(ISNUMBER('FBPQ C2'!I132),'FBPQ C2'!I132,""))</f>
        <v>146.88</v>
      </c>
      <c r="F140" s="45" t="s">
        <v>782</v>
      </c>
      <c r="G140" s="45">
        <f t="shared" si="5"/>
        <v>146.88</v>
      </c>
      <c r="H140" s="35">
        <f>IF(ISBLANK('FBPQ T4'!E132)," ",'FBPQ T4'!AE132)</f>
        <v>222</v>
      </c>
      <c r="I140" s="35">
        <f t="shared" si="4"/>
        <v>32607.36</v>
      </c>
      <c r="J140" s="56"/>
      <c r="K140" s="49"/>
      <c r="L140" s="49"/>
      <c r="M140" s="49"/>
      <c r="N140" s="60"/>
      <c r="O140" s="62"/>
    </row>
    <row r="141" spans="1:15" ht="12.75">
      <c r="A141" s="39"/>
      <c r="B141" s="34"/>
      <c r="C141" s="35" t="s">
        <v>360</v>
      </c>
      <c r="D141" s="39" t="s">
        <v>429</v>
      </c>
      <c r="E141" s="6">
        <f>IF(ISNUMBER('FBPQ C2'!J133),'FBPQ C2'!J133,IF(ISNUMBER('FBPQ C2'!I133),'FBPQ C2'!I133,""))</f>
      </c>
      <c r="F141" s="45" t="s">
        <v>782</v>
      </c>
      <c r="G141" s="45" t="str">
        <f t="shared" si="5"/>
        <v>DATA</v>
      </c>
      <c r="H141" s="35">
        <f>IF(ISBLANK('FBPQ T4'!E133)," ",'FBPQ T4'!AE133)</f>
        <v>727</v>
      </c>
      <c r="I141" s="35" t="str">
        <f t="shared" si="4"/>
        <v> </v>
      </c>
      <c r="J141" s="56"/>
      <c r="K141" s="49"/>
      <c r="L141" s="49"/>
      <c r="M141" s="49"/>
      <c r="N141" s="60"/>
      <c r="O141" s="61"/>
    </row>
    <row r="142" spans="1:15" ht="12.75">
      <c r="A142" s="39"/>
      <c r="B142" s="34"/>
      <c r="C142" s="35"/>
      <c r="D142" s="39"/>
      <c r="E142" s="6">
        <f>IF(ISNUMBER('FBPQ C2'!J134),'FBPQ C2'!J134,IF(ISNUMBER('FBPQ C2'!I134),'FBPQ C2'!I134,""))</f>
      </c>
      <c r="F142" s="45"/>
      <c r="G142" s="45">
        <f t="shared" si="5"/>
        <v>0</v>
      </c>
      <c r="H142" s="35" t="str">
        <f>IF(ISBLANK('FBPQ T4'!E134)," ",'FBPQ T4'!AE134)</f>
        <v> </v>
      </c>
      <c r="I142" s="35" t="str">
        <f t="shared" si="4"/>
        <v> </v>
      </c>
      <c r="J142" s="56"/>
      <c r="K142" s="49"/>
      <c r="L142" s="49"/>
      <c r="M142" s="49"/>
      <c r="N142" s="56"/>
      <c r="O142" s="61"/>
    </row>
    <row r="143" spans="1:15" ht="12.75">
      <c r="A143" s="39"/>
      <c r="B143" s="34" t="s">
        <v>227</v>
      </c>
      <c r="C143" s="35"/>
      <c r="D143" s="39"/>
      <c r="E143" s="6">
        <f>IF(ISNUMBER('FBPQ C2'!J135),'FBPQ C2'!J135,IF(ISNUMBER('FBPQ C2'!I135),'FBPQ C2'!I135,""))</f>
      </c>
      <c r="F143" s="45"/>
      <c r="G143" s="45">
        <f t="shared" si="5"/>
        <v>0</v>
      </c>
      <c r="H143" s="35" t="str">
        <f>IF(ISBLANK('FBPQ T4'!E135)," ",'FBPQ T4'!AE135)</f>
        <v> </v>
      </c>
      <c r="I143" s="35" t="str">
        <f t="shared" si="4"/>
        <v> </v>
      </c>
      <c r="J143" s="56"/>
      <c r="K143" s="49"/>
      <c r="L143" s="50"/>
      <c r="M143" s="49"/>
      <c r="N143" s="60"/>
      <c r="O143" s="59"/>
    </row>
    <row r="144" spans="1:15" ht="12.75">
      <c r="A144" s="39"/>
      <c r="B144" s="34"/>
      <c r="C144" s="35" t="s">
        <v>361</v>
      </c>
      <c r="D144" s="39" t="s">
        <v>429</v>
      </c>
      <c r="E144" s="6">
        <f>IF(ISNUMBER('FBPQ C2'!J136),'FBPQ C2'!J136,IF(ISNUMBER('FBPQ C2'!I136),'FBPQ C2'!I136,""))</f>
        <v>1139.95</v>
      </c>
      <c r="F144" s="45" t="s">
        <v>782</v>
      </c>
      <c r="G144" s="45">
        <f t="shared" si="5"/>
        <v>1139.95</v>
      </c>
      <c r="H144" s="35">
        <f>IF(ISBLANK('FBPQ T4'!E136)," ",'FBPQ T4'!AE136)</f>
        <v>131</v>
      </c>
      <c r="I144" s="35">
        <f t="shared" si="4"/>
        <v>149333.45</v>
      </c>
      <c r="J144" s="56"/>
      <c r="K144" s="49"/>
      <c r="L144" s="49"/>
      <c r="M144" s="65"/>
      <c r="N144" s="60"/>
      <c r="O144" s="66"/>
    </row>
    <row r="145" spans="1:15" ht="12.75">
      <c r="A145" s="39"/>
      <c r="B145" s="34"/>
      <c r="C145" s="35" t="s">
        <v>362</v>
      </c>
      <c r="D145" s="39" t="s">
        <v>429</v>
      </c>
      <c r="E145" s="6">
        <f>IF(ISNUMBER('FBPQ C2'!J137),'FBPQ C2'!J137,IF(ISNUMBER('FBPQ C2'!I137),'FBPQ C2'!I137,""))</f>
      </c>
      <c r="F145" s="45" t="s">
        <v>782</v>
      </c>
      <c r="G145" s="45" t="str">
        <f t="shared" si="5"/>
        <v>DATA</v>
      </c>
      <c r="H145" s="35">
        <f>IF(ISBLANK('FBPQ T4'!E137)," ",'FBPQ T4'!AE137)</f>
        <v>140</v>
      </c>
      <c r="I145" s="35" t="str">
        <f t="shared" si="4"/>
        <v> </v>
      </c>
      <c r="J145" s="56"/>
      <c r="K145" s="49"/>
      <c r="L145" s="49"/>
      <c r="M145" s="65"/>
      <c r="N145" s="60"/>
      <c r="O145" s="67"/>
    </row>
    <row r="146" spans="1:14" ht="12.75">
      <c r="A146" s="39"/>
      <c r="B146" s="34"/>
      <c r="C146" s="35"/>
      <c r="D146" s="39"/>
      <c r="E146" s="6">
        <f>IF(ISNUMBER('FBPQ C2'!J138),'FBPQ C2'!J138,IF(ISNUMBER('FBPQ C2'!I138),'FBPQ C2'!I138,""))</f>
      </c>
      <c r="F146" s="45"/>
      <c r="G146" s="45">
        <f t="shared" si="5"/>
        <v>0</v>
      </c>
      <c r="H146" s="35" t="str">
        <f>IF(ISBLANK('FBPQ T4'!E138)," ",'FBPQ T4'!AE138)</f>
        <v> </v>
      </c>
      <c r="I146" s="35" t="str">
        <f t="shared" si="4"/>
        <v> </v>
      </c>
      <c r="J146" s="63"/>
      <c r="K146" s="63"/>
      <c r="L146" s="63"/>
      <c r="M146" s="63"/>
      <c r="N146" s="64"/>
    </row>
    <row r="147" spans="1:9" ht="12.75">
      <c r="A147" s="39" t="s">
        <v>367</v>
      </c>
      <c r="B147" s="34"/>
      <c r="C147" s="35"/>
      <c r="D147" s="39"/>
      <c r="E147" s="6">
        <f>IF(ISNUMBER('FBPQ C2'!J139),'FBPQ C2'!J139,IF(ISNUMBER('FBPQ C2'!I139),'FBPQ C2'!I139,""))</f>
      </c>
      <c r="F147" s="45"/>
      <c r="G147" s="45">
        <f t="shared" si="5"/>
        <v>0</v>
      </c>
      <c r="H147" s="35" t="str">
        <f>IF(ISBLANK('FBPQ T4'!E139)," ",'FBPQ T4'!AE139)</f>
        <v> </v>
      </c>
      <c r="I147" s="35" t="str">
        <f t="shared" si="4"/>
        <v> </v>
      </c>
    </row>
    <row r="148" spans="1:9" ht="12.75">
      <c r="A148" s="39"/>
      <c r="B148" s="34" t="s">
        <v>368</v>
      </c>
      <c r="C148" s="35"/>
      <c r="D148" s="39"/>
      <c r="E148" s="6">
        <f>IF(ISNUMBER('FBPQ C2'!J140),'FBPQ C2'!J140,IF(ISNUMBER('FBPQ C2'!I140),'FBPQ C2'!I140,""))</f>
      </c>
      <c r="F148" s="45"/>
      <c r="G148" s="45">
        <f aca="true" t="shared" si="6" ref="G148:G163">IF(ISNUMBER(E148),E148,IF(H148&gt;0,F148," "))</f>
        <v>0</v>
      </c>
      <c r="H148" s="35" t="str">
        <f>IF(ISBLANK('FBPQ T4'!E140)," ",'FBPQ T4'!AE140)</f>
        <v> </v>
      </c>
      <c r="I148" s="35" t="str">
        <f t="shared" si="4"/>
        <v> </v>
      </c>
    </row>
    <row r="149" spans="1:9" ht="12.75">
      <c r="A149" s="39"/>
      <c r="B149" s="34"/>
      <c r="C149" s="35" t="s">
        <v>369</v>
      </c>
      <c r="D149" s="39" t="s">
        <v>429</v>
      </c>
      <c r="E149" s="6">
        <f>IF(ISNUMBER('FBPQ C2'!J141),'FBPQ C2'!J141,IF(ISNUMBER('FBPQ C2'!I141),'FBPQ C2'!I141,""))</f>
      </c>
      <c r="F149" s="45" t="s">
        <v>782</v>
      </c>
      <c r="G149" s="45" t="str">
        <f t="shared" si="6"/>
        <v>DATA</v>
      </c>
      <c r="H149" s="35">
        <f>IF(ISBLANK('FBPQ T4'!E141)," ",'FBPQ T4'!AE141)</f>
        <v>1</v>
      </c>
      <c r="I149" s="35" t="str">
        <f aca="true" t="shared" si="7" ref="I149:I163">IF(ISERROR(G149*H149)," ",G149*H149)</f>
        <v> </v>
      </c>
    </row>
    <row r="150" spans="1:9" ht="12.75">
      <c r="A150" s="39"/>
      <c r="B150" s="34"/>
      <c r="C150" s="35" t="s">
        <v>495</v>
      </c>
      <c r="D150" s="39" t="s">
        <v>429</v>
      </c>
      <c r="E150" s="6">
        <f>IF(ISNUMBER('FBPQ C2'!J142),'FBPQ C2'!J142,IF(ISNUMBER('FBPQ C2'!I142),'FBPQ C2'!I142,""))</f>
      </c>
      <c r="F150" s="45" t="s">
        <v>782</v>
      </c>
      <c r="G150" s="45" t="str">
        <f t="shared" si="6"/>
        <v>DATA</v>
      </c>
      <c r="H150" s="35">
        <f>IF(ISBLANK('FBPQ T4'!E142)," ",'FBPQ T4'!AE142)</f>
        <v>272</v>
      </c>
      <c r="I150" s="35" t="str">
        <f t="shared" si="7"/>
        <v> </v>
      </c>
    </row>
    <row r="151" spans="1:9" ht="12.75">
      <c r="A151" s="39"/>
      <c r="B151" s="34"/>
      <c r="C151" s="35"/>
      <c r="D151" s="39"/>
      <c r="E151" s="6">
        <f>IF(ISNUMBER('FBPQ C2'!J143),'FBPQ C2'!J143,IF(ISNUMBER('FBPQ C2'!I143),'FBPQ C2'!I143,""))</f>
      </c>
      <c r="F151" s="45"/>
      <c r="G151" s="45">
        <f t="shared" si="6"/>
        <v>0</v>
      </c>
      <c r="H151" s="35" t="str">
        <f>IF(ISBLANK('FBPQ T4'!E143)," ",'FBPQ T4'!AE143)</f>
        <v> </v>
      </c>
      <c r="I151" s="35" t="str">
        <f t="shared" si="7"/>
        <v> </v>
      </c>
    </row>
    <row r="152" spans="1:9" ht="12.75">
      <c r="A152" s="39"/>
      <c r="B152" s="34" t="s">
        <v>496</v>
      </c>
      <c r="C152" s="35"/>
      <c r="D152" s="39"/>
      <c r="E152" s="6">
        <f>IF(ISNUMBER('FBPQ C2'!J144),'FBPQ C2'!J144,IF(ISNUMBER('FBPQ C2'!I144),'FBPQ C2'!I144,""))</f>
      </c>
      <c r="F152" s="45"/>
      <c r="G152" s="45">
        <f t="shared" si="6"/>
        <v>0</v>
      </c>
      <c r="H152" s="35" t="str">
        <f>IF(ISBLANK('FBPQ T4'!E144)," ",'FBPQ T4'!AE144)</f>
        <v> </v>
      </c>
      <c r="I152" s="35" t="str">
        <f t="shared" si="7"/>
        <v> </v>
      </c>
    </row>
    <row r="153" spans="1:9" ht="12.75">
      <c r="A153" s="39"/>
      <c r="B153" s="34"/>
      <c r="C153" s="35" t="s">
        <v>371</v>
      </c>
      <c r="D153" s="39" t="s">
        <v>429</v>
      </c>
      <c r="E153" s="6">
        <f>IF(ISNUMBER('FBPQ C2'!J145),'FBPQ C2'!J145,IF(ISNUMBER('FBPQ C2'!I145),'FBPQ C2'!I145,""))</f>
      </c>
      <c r="F153" s="45" t="s">
        <v>782</v>
      </c>
      <c r="G153" s="45" t="str">
        <f t="shared" si="6"/>
        <v>DATA</v>
      </c>
      <c r="H153" s="35">
        <f>IF(ISBLANK('FBPQ T4'!E145)," ",'FBPQ T4'!AE145)</f>
        <v>1246</v>
      </c>
      <c r="I153" s="45"/>
    </row>
    <row r="154" spans="1:9" ht="12.75">
      <c r="A154" s="39"/>
      <c r="B154" s="34"/>
      <c r="C154" s="35" t="s">
        <v>372</v>
      </c>
      <c r="D154" s="39" t="s">
        <v>429</v>
      </c>
      <c r="E154" s="6">
        <f>IF(ISNUMBER('FBPQ C2'!J146),'FBPQ C2'!J146,IF(ISNUMBER('FBPQ C2'!I146),'FBPQ C2'!I146,""))</f>
      </c>
      <c r="F154" s="45" t="s">
        <v>782</v>
      </c>
      <c r="G154" s="45" t="str">
        <f t="shared" si="6"/>
        <v>DATA</v>
      </c>
      <c r="H154" s="35">
        <f>IF(ISBLANK('FBPQ T4'!E146)," ",'FBPQ T4'!AE146)</f>
        <v>143</v>
      </c>
      <c r="I154" s="35" t="str">
        <f t="shared" si="7"/>
        <v> </v>
      </c>
    </row>
    <row r="155" spans="1:9" ht="12.75">
      <c r="A155" s="39"/>
      <c r="B155" s="34"/>
      <c r="C155" s="35"/>
      <c r="D155" s="39"/>
      <c r="E155" s="6">
        <f>IF(ISNUMBER('FBPQ C2'!J147),'FBPQ C2'!J147,IF(ISNUMBER('FBPQ C2'!I147),'FBPQ C2'!I147,""))</f>
      </c>
      <c r="F155" s="45"/>
      <c r="G155" s="45">
        <f t="shared" si="6"/>
        <v>0</v>
      </c>
      <c r="H155" s="35" t="str">
        <f>IF(ISBLANK('FBPQ T4'!E147)," ",'FBPQ T4'!AE147)</f>
        <v> </v>
      </c>
      <c r="I155" s="35" t="str">
        <f t="shared" si="7"/>
        <v> </v>
      </c>
    </row>
    <row r="156" spans="1:9" ht="12.75">
      <c r="A156" s="39"/>
      <c r="B156" s="34"/>
      <c r="C156" s="35"/>
      <c r="D156" s="39"/>
      <c r="E156" s="6">
        <f>IF(ISNUMBER('FBPQ C2'!J148),'FBPQ C2'!J148,IF(ISNUMBER('FBPQ C2'!I148),'FBPQ C2'!I148,""))</f>
      </c>
      <c r="F156" s="45"/>
      <c r="G156" s="45">
        <f t="shared" si="6"/>
        <v>0</v>
      </c>
      <c r="H156" s="35" t="str">
        <f>IF(ISBLANK('FBPQ T4'!E148)," ",'FBPQ T4'!AE148)</f>
        <v> </v>
      </c>
      <c r="I156" s="35" t="str">
        <f t="shared" si="7"/>
        <v> </v>
      </c>
    </row>
    <row r="157" spans="1:9" ht="12.75">
      <c r="A157" s="39" t="s">
        <v>373</v>
      </c>
      <c r="B157" s="34"/>
      <c r="C157" s="35"/>
      <c r="D157" s="39"/>
      <c r="E157" s="6">
        <f>IF(ISNUMBER('FBPQ C2'!J149),'FBPQ C2'!J149,IF(ISNUMBER('FBPQ C2'!I149),'FBPQ C2'!I149,""))</f>
      </c>
      <c r="F157" s="45"/>
      <c r="G157" s="45">
        <f t="shared" si="6"/>
        <v>0</v>
      </c>
      <c r="H157" s="35" t="str">
        <f>IF(ISBLANK('FBPQ T4'!E149)," ",'FBPQ T4'!AE149)</f>
        <v> </v>
      </c>
      <c r="I157" s="35" t="str">
        <f t="shared" si="7"/>
        <v> </v>
      </c>
    </row>
    <row r="158" spans="1:9" ht="12.75">
      <c r="A158" s="39"/>
      <c r="B158" s="34"/>
      <c r="C158" s="35" t="s">
        <v>609</v>
      </c>
      <c r="D158" s="39"/>
      <c r="E158" s="6">
        <f>IF(ISNUMBER('FBPQ C2'!J150),'FBPQ C2'!J150,IF(ISNUMBER('FBPQ C2'!I150),'FBPQ C2'!I150,""))</f>
      </c>
      <c r="F158" s="45"/>
      <c r="G158" s="45">
        <f t="shared" si="6"/>
        <v>0</v>
      </c>
      <c r="H158" s="35" t="str">
        <f>IF(ISBLANK('FBPQ T4'!E150)," ",'FBPQ T4'!AE150)</f>
        <v> </v>
      </c>
      <c r="I158" s="35" t="str">
        <f t="shared" si="7"/>
        <v> </v>
      </c>
    </row>
    <row r="159" spans="1:9" ht="12.75">
      <c r="A159" s="39"/>
      <c r="B159" s="34"/>
      <c r="C159" s="35" t="s">
        <v>374</v>
      </c>
      <c r="D159" s="39" t="s">
        <v>429</v>
      </c>
      <c r="E159" s="6">
        <f>IF(ISNUMBER('FBPQ C2'!J151),'FBPQ C2'!J151,IF(ISNUMBER('FBPQ C2'!I151),'FBPQ C2'!I151,""))</f>
        <v>24.52</v>
      </c>
      <c r="F159" s="45" t="s">
        <v>782</v>
      </c>
      <c r="G159" s="45">
        <f t="shared" si="6"/>
        <v>24.52</v>
      </c>
      <c r="H159" s="35" t="str">
        <f>IF(ISBLANK('FBPQ T4'!E151)," ",'FBPQ T4'!AE151)</f>
        <v> </v>
      </c>
      <c r="I159" s="35" t="str">
        <f t="shared" si="7"/>
        <v> </v>
      </c>
    </row>
    <row r="160" spans="1:9" ht="12.75">
      <c r="A160" s="39"/>
      <c r="B160" s="34"/>
      <c r="C160" s="35" t="s">
        <v>375</v>
      </c>
      <c r="D160" s="39" t="s">
        <v>429</v>
      </c>
      <c r="E160" s="6">
        <f>IF(ISNUMBER('FBPQ C2'!J152),'FBPQ C2'!J152,IF(ISNUMBER('FBPQ C2'!I152),'FBPQ C2'!I152,""))</f>
        <v>24.52</v>
      </c>
      <c r="F160" s="45" t="s">
        <v>782</v>
      </c>
      <c r="G160" s="45">
        <f t="shared" si="6"/>
        <v>24.52</v>
      </c>
      <c r="H160" s="35" t="str">
        <f>IF(ISBLANK('FBPQ T4'!E152)," ",'FBPQ T4'!AE152)</f>
        <v> </v>
      </c>
      <c r="I160" s="35" t="str">
        <f t="shared" si="7"/>
        <v> </v>
      </c>
    </row>
    <row r="161" spans="1:9" ht="12.75">
      <c r="A161" s="39"/>
      <c r="B161" s="34"/>
      <c r="C161" s="35" t="s">
        <v>218</v>
      </c>
      <c r="D161" s="39"/>
      <c r="E161" s="6">
        <f>IF(ISNUMBER('FBPQ C2'!J153),'FBPQ C2'!J153,IF(ISNUMBER('FBPQ C2'!I153),'FBPQ C2'!I153,""))</f>
      </c>
      <c r="F161" s="45" t="s">
        <v>782</v>
      </c>
      <c r="G161" s="45" t="str">
        <f t="shared" si="6"/>
        <v>DATA</v>
      </c>
      <c r="H161" s="35" t="str">
        <f>IF(ISBLANK('FBPQ T4'!E153)," ",'FBPQ T4'!AE153)</f>
        <v> </v>
      </c>
      <c r="I161" s="35" t="str">
        <f t="shared" si="7"/>
        <v> </v>
      </c>
    </row>
    <row r="162" spans="1:9" ht="12.75">
      <c r="A162" s="39"/>
      <c r="B162" s="34"/>
      <c r="C162" s="35" t="s">
        <v>374</v>
      </c>
      <c r="D162" s="39" t="s">
        <v>429</v>
      </c>
      <c r="E162" s="6">
        <f>IF(ISNUMBER('FBPQ C2'!J154),'FBPQ C2'!J154,IF(ISNUMBER('FBPQ C2'!I154),'FBPQ C2'!I154,""))</f>
      </c>
      <c r="F162" s="45" t="s">
        <v>782</v>
      </c>
      <c r="G162" s="45" t="str">
        <f t="shared" si="6"/>
        <v>DATA</v>
      </c>
      <c r="H162" s="35" t="str">
        <f>IF(ISBLANK('FBPQ T4'!E154)," ",'FBPQ T4'!AE154)</f>
        <v> </v>
      </c>
      <c r="I162" s="35" t="str">
        <f t="shared" si="7"/>
        <v> </v>
      </c>
    </row>
    <row r="163" spans="1:9" ht="12.75">
      <c r="A163" s="38"/>
      <c r="B163" s="36"/>
      <c r="C163" s="37" t="s">
        <v>375</v>
      </c>
      <c r="D163" s="38" t="s">
        <v>429</v>
      </c>
      <c r="E163" s="7">
        <f>IF(ISNUMBER('FBPQ C2'!J155),'FBPQ C2'!J155,IF(ISNUMBER('FBPQ C2'!I155),'FBPQ C2'!I155,""))</f>
      </c>
      <c r="F163" s="46" t="s">
        <v>782</v>
      </c>
      <c r="G163" s="46" t="str">
        <f t="shared" si="6"/>
        <v>DATA</v>
      </c>
      <c r="H163" s="38" t="str">
        <f>IF(ISBLANK('FBPQ T4'!E155)," ",'FBPQ T4'!AE155)</f>
        <v> </v>
      </c>
      <c r="I163" s="38" t="str">
        <f t="shared" si="7"/>
        <v> </v>
      </c>
    </row>
    <row r="164" spans="8:9" ht="12.75">
      <c r="H164" s="1276" t="s">
        <v>166</v>
      </c>
      <c r="I164" s="1277">
        <f>SUM(I18:I163)</f>
        <v>4072889.7504800013</v>
      </c>
    </row>
  </sheetData>
  <sheetProtection/>
  <mergeCells count="8">
    <mergeCell ref="O3:Q3"/>
    <mergeCell ref="O4:Q4"/>
    <mergeCell ref="B3:D3"/>
    <mergeCell ref="B4:D4"/>
    <mergeCell ref="F3:H3"/>
    <mergeCell ref="F4:H4"/>
    <mergeCell ref="J3:L3"/>
    <mergeCell ref="J4:L4"/>
  </mergeCells>
  <hyperlinks>
    <hyperlink ref="F1" location="Inputs!A1" display="Index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8.28125" style="0" customWidth="1"/>
    <col min="3" max="3" width="19.7109375" style="0" customWidth="1"/>
    <col min="4" max="4" width="13.7109375" style="0" customWidth="1"/>
    <col min="5" max="5" width="12.7109375" style="0" customWidth="1"/>
    <col min="6" max="6" width="21.28125" style="0" customWidth="1"/>
    <col min="7" max="8" width="14.421875" style="0" customWidth="1"/>
    <col min="9" max="9" width="19.7109375" style="0" customWidth="1"/>
  </cols>
  <sheetData>
    <row r="1" spans="1:6" s="3" customFormat="1" ht="12.75">
      <c r="A1" s="10" t="s">
        <v>100</v>
      </c>
      <c r="F1" s="390" t="s">
        <v>775</v>
      </c>
    </row>
    <row r="3" spans="2:8" ht="26.25" customHeight="1">
      <c r="B3" s="1460" t="s">
        <v>169</v>
      </c>
      <c r="C3" s="1461"/>
      <c r="D3" s="1462"/>
      <c r="F3" s="1460" t="s">
        <v>81</v>
      </c>
      <c r="G3" s="1461"/>
      <c r="H3" s="1462"/>
    </row>
    <row r="4" spans="2:8" ht="12.75" customHeight="1">
      <c r="B4" s="1451" t="s">
        <v>63</v>
      </c>
      <c r="C4" s="1470"/>
      <c r="D4" s="1469"/>
      <c r="F4" s="1451" t="s">
        <v>63</v>
      </c>
      <c r="G4" s="1470"/>
      <c r="H4" s="1469"/>
    </row>
    <row r="5" spans="2:8" ht="12.75">
      <c r="B5" s="11"/>
      <c r="C5" s="78" t="s">
        <v>543</v>
      </c>
      <c r="D5" s="13" t="s">
        <v>101</v>
      </c>
      <c r="F5" s="11"/>
      <c r="G5" s="78" t="s">
        <v>543</v>
      </c>
      <c r="H5" s="40" t="s">
        <v>101</v>
      </c>
    </row>
    <row r="6" spans="2:8" ht="12.75">
      <c r="B6" s="22" t="s">
        <v>804</v>
      </c>
      <c r="C6" s="18">
        <f>C19+F19+I19+C28</f>
        <v>49.299918108546755</v>
      </c>
      <c r="D6" s="297">
        <f>C6/SUM($C$6:$C$9)</f>
        <v>0.18558934458027707</v>
      </c>
      <c r="F6" s="22" t="s">
        <v>804</v>
      </c>
      <c r="G6" s="72">
        <f>+C39+F39+I39+C49</f>
        <v>49.299918108546755</v>
      </c>
      <c r="H6" s="15">
        <f>G6/SUM($G$6:$G$10)</f>
        <v>0.1855893445802771</v>
      </c>
    </row>
    <row r="7" spans="2:8" ht="12.75">
      <c r="B7" s="22" t="s">
        <v>803</v>
      </c>
      <c r="C7" s="19">
        <f>C20+F20+I20+C29</f>
        <v>116.13270531521633</v>
      </c>
      <c r="D7" s="298">
        <f>C7/SUM($C$6:$C$9)</f>
        <v>0.43718110477041494</v>
      </c>
      <c r="F7" s="22" t="s">
        <v>62</v>
      </c>
      <c r="G7" s="73">
        <f>+C40+F40+I40+C50</f>
        <v>23.06782461371182</v>
      </c>
      <c r="H7" s="14">
        <f>G7/SUM($G$6:$G$10)</f>
        <v>0.08683873351524637</v>
      </c>
    </row>
    <row r="8" spans="2:8" ht="12.75">
      <c r="B8" s="22" t="s">
        <v>809</v>
      </c>
      <c r="C8" s="19">
        <f>C21+F21+I21+C30</f>
        <v>58.04957721807123</v>
      </c>
      <c r="D8" s="298">
        <f>C8/SUM($C$6:$C$9)</f>
        <v>0.21852740131015191</v>
      </c>
      <c r="F8" s="22" t="s">
        <v>803</v>
      </c>
      <c r="G8" s="73">
        <f>+C41+F41+I41+C51</f>
        <v>93.06488070150449</v>
      </c>
      <c r="H8" s="14">
        <f>G8/SUM($G$6:$G$10)</f>
        <v>0.3503423712551686</v>
      </c>
    </row>
    <row r="9" spans="2:8" ht="12.75">
      <c r="B9" s="23" t="s">
        <v>211</v>
      </c>
      <c r="C9" s="20">
        <f>C22+F22+I22+C31</f>
        <v>42.157608691195435</v>
      </c>
      <c r="D9" s="299">
        <f>C9/SUM($C$6:$C$9)</f>
        <v>0.15870214933915608</v>
      </c>
      <c r="F9" s="22" t="s">
        <v>809</v>
      </c>
      <c r="G9" s="73">
        <f>+C42+F42+I42+C52</f>
        <v>58.04957721807123</v>
      </c>
      <c r="H9" s="14">
        <f>G9/SUM($G$6:$G$10)</f>
        <v>0.21852740131015197</v>
      </c>
    </row>
    <row r="10" spans="2:8" ht="12.75">
      <c r="B10" s="8"/>
      <c r="C10" s="69"/>
      <c r="D10" s="70"/>
      <c r="F10" s="23" t="s">
        <v>211</v>
      </c>
      <c r="G10" s="74">
        <f>+C43+F43+I43+C53</f>
        <v>42.157608691195435</v>
      </c>
      <c r="H10" s="16">
        <f>G10/SUM($G$6:$G$10)</f>
        <v>0.1587021493391561</v>
      </c>
    </row>
    <row r="11" spans="2:4" ht="12.75">
      <c r="B11" s="8"/>
      <c r="C11" s="69"/>
      <c r="D11" s="312"/>
    </row>
    <row r="12" spans="2:3" ht="12" customHeight="1">
      <c r="B12" s="8"/>
      <c r="C12" s="9"/>
    </row>
    <row r="13" s="3" customFormat="1" ht="12.75">
      <c r="A13" s="10" t="s">
        <v>68</v>
      </c>
    </row>
    <row r="15" ht="5.25" customHeight="1"/>
    <row r="16" spans="2:9" s="4" customFormat="1" ht="26.25" customHeight="1">
      <c r="B16" s="1460" t="s">
        <v>314</v>
      </c>
      <c r="C16" s="1462"/>
      <c r="E16" s="1460" t="s">
        <v>212</v>
      </c>
      <c r="F16" s="1462"/>
      <c r="H16" s="1460" t="s">
        <v>96</v>
      </c>
      <c r="I16" s="1462"/>
    </row>
    <row r="17" spans="2:9" ht="27" customHeight="1">
      <c r="B17" s="1451" t="s">
        <v>64</v>
      </c>
      <c r="C17" s="1469"/>
      <c r="E17" s="1451" t="s">
        <v>213</v>
      </c>
      <c r="F17" s="1469"/>
      <c r="H17" s="1451" t="s">
        <v>97</v>
      </c>
      <c r="I17" s="1469"/>
    </row>
    <row r="18" spans="2:9" ht="12.75" customHeight="1">
      <c r="B18" s="21"/>
      <c r="C18" s="18"/>
      <c r="E18" s="5"/>
      <c r="F18" s="18"/>
      <c r="H18" s="5"/>
      <c r="I18" s="18"/>
    </row>
    <row r="19" spans="2:9" ht="12" customHeight="1">
      <c r="B19" s="22" t="s">
        <v>804</v>
      </c>
      <c r="C19" s="19">
        <f>SUM('FBPQ LR1'!D82:M82)-SUM('FBPQ LR1'!D110:M110)</f>
        <v>3.0999999999999943</v>
      </c>
      <c r="E19" s="6" t="s">
        <v>804</v>
      </c>
      <c r="F19" s="19">
        <f>SUM('FBPQ LR4'!D11:M11)</f>
        <v>1.8999999999999997</v>
      </c>
      <c r="H19" s="6" t="s">
        <v>804</v>
      </c>
      <c r="I19" s="19">
        <f>SUM('FBPQ LR6'!C28:L28)</f>
        <v>0</v>
      </c>
    </row>
    <row r="20" spans="2:9" ht="12.75">
      <c r="B20" s="22" t="s">
        <v>803</v>
      </c>
      <c r="C20" s="19">
        <f>SUM('FBPQ LR1'!D86:M86)-SUM('FBPQ LR1'!D114:M114)</f>
        <v>1.1999999999999993</v>
      </c>
      <c r="E20" s="6" t="s">
        <v>803</v>
      </c>
      <c r="F20" s="19">
        <f>SUM('FBPQ LR4'!D12:M12)</f>
        <v>12.600000000000003</v>
      </c>
      <c r="H20" s="6" t="s">
        <v>803</v>
      </c>
      <c r="I20" s="19">
        <f>SUM('FBPQ LR6'!C29:L29)</f>
        <v>0</v>
      </c>
    </row>
    <row r="21" spans="2:9" ht="12.75">
      <c r="B21" s="22" t="s">
        <v>809</v>
      </c>
      <c r="C21" s="19">
        <f>SUM('FBPQ LR1'!D90:M90)-SUM('FBPQ LR1'!D118:M118)</f>
        <v>1.5500000000000016</v>
      </c>
      <c r="E21" s="6" t="s">
        <v>809</v>
      </c>
      <c r="F21" s="19">
        <f>SUM('FBPQ LR4'!D13:M13)</f>
        <v>17.700000000000003</v>
      </c>
      <c r="H21" s="6" t="s">
        <v>809</v>
      </c>
      <c r="I21" s="19">
        <f>SUM('FBPQ LR6'!C30:L30)</f>
        <v>0.7</v>
      </c>
    </row>
    <row r="22" spans="2:9" ht="12.75">
      <c r="B22" s="23" t="s">
        <v>211</v>
      </c>
      <c r="C22" s="20">
        <f>SUM('FBPQ LR1'!D94:M94)-SUM('FBPQ LR1'!D122:M122)</f>
        <v>0</v>
      </c>
      <c r="E22" s="7" t="s">
        <v>211</v>
      </c>
      <c r="F22" s="20">
        <f>SUM('FBPQ LR4'!D14:M14)</f>
        <v>9.3</v>
      </c>
      <c r="H22" s="7" t="s">
        <v>211</v>
      </c>
      <c r="I22" s="20">
        <f>SUM('FBPQ LR6'!C31:L31)</f>
        <v>0</v>
      </c>
    </row>
    <row r="25" spans="2:3" ht="24.75" customHeight="1">
      <c r="B25" s="1460" t="s">
        <v>98</v>
      </c>
      <c r="C25" s="1462"/>
    </row>
    <row r="26" spans="2:3" ht="27.75" customHeight="1">
      <c r="B26" s="1451" t="s">
        <v>99</v>
      </c>
      <c r="C26" s="1469"/>
    </row>
    <row r="27" spans="2:3" ht="12.75">
      <c r="B27" s="5"/>
      <c r="C27" s="18"/>
    </row>
    <row r="28" spans="2:3" ht="12.75">
      <c r="B28" s="6" t="s">
        <v>804</v>
      </c>
      <c r="C28" s="19">
        <f>SUM('FBPQ NL1'!D10:M16)</f>
        <v>44.29991810854676</v>
      </c>
    </row>
    <row r="29" spans="2:3" ht="12.75">
      <c r="B29" s="6" t="s">
        <v>803</v>
      </c>
      <c r="C29" s="19">
        <f>SUM('FBPQ NL1'!D17:M22)</f>
        <v>102.33270531521633</v>
      </c>
    </row>
    <row r="30" spans="2:3" ht="12.75">
      <c r="B30" s="6" t="s">
        <v>809</v>
      </c>
      <c r="C30" s="19">
        <f>SUM('FBPQ NL1'!D23:M28)</f>
        <v>38.099577218071225</v>
      </c>
    </row>
    <row r="31" spans="2:3" ht="12.75">
      <c r="B31" s="7" t="s">
        <v>211</v>
      </c>
      <c r="C31" s="20">
        <f>SUM('FBPQ NL1'!D29:M34)</f>
        <v>32.85760869119544</v>
      </c>
    </row>
    <row r="33" s="3" customFormat="1" ht="12.75">
      <c r="A33" s="10" t="s">
        <v>168</v>
      </c>
    </row>
    <row r="35" ht="5.25" customHeight="1"/>
    <row r="36" spans="2:9" s="4" customFormat="1" ht="26.25" customHeight="1">
      <c r="B36" s="1460" t="s">
        <v>314</v>
      </c>
      <c r="C36" s="1462"/>
      <c r="E36" s="1460" t="s">
        <v>212</v>
      </c>
      <c r="F36" s="1462"/>
      <c r="H36" s="1460" t="s">
        <v>96</v>
      </c>
      <c r="I36" s="1462"/>
    </row>
    <row r="37" spans="2:9" ht="27" customHeight="1">
      <c r="B37" s="1451" t="s">
        <v>64</v>
      </c>
      <c r="C37" s="1469"/>
      <c r="E37" s="1451" t="s">
        <v>213</v>
      </c>
      <c r="F37" s="1469"/>
      <c r="H37" s="1451" t="s">
        <v>97</v>
      </c>
      <c r="I37" s="1469"/>
    </row>
    <row r="38" spans="2:9" ht="12.75" customHeight="1">
      <c r="B38" s="21"/>
      <c r="C38" s="18"/>
      <c r="E38" s="5"/>
      <c r="F38" s="18"/>
      <c r="H38" s="5"/>
      <c r="I38" s="18"/>
    </row>
    <row r="39" spans="2:9" ht="12.75">
      <c r="B39" s="22" t="s">
        <v>804</v>
      </c>
      <c r="C39" s="19">
        <f>SUM('FBPQ LR1'!D82:M82)-SUM('FBPQ LR1'!D110:M110)</f>
        <v>3.0999999999999943</v>
      </c>
      <c r="E39" s="6" t="s">
        <v>804</v>
      </c>
      <c r="F39" s="19">
        <f>SUM('FBPQ LR4'!D11:M11)</f>
        <v>1.8999999999999997</v>
      </c>
      <c r="H39" s="6" t="s">
        <v>804</v>
      </c>
      <c r="I39" s="19">
        <f>SUM('FBPQ LR6'!C28:L28)</f>
        <v>0</v>
      </c>
    </row>
    <row r="40" spans="2:10" ht="63.75">
      <c r="B40" s="379" t="s">
        <v>62</v>
      </c>
      <c r="C40" s="19">
        <f>(SUM('FBPQ LR1'!D86:M86)-SUM('FBPQ LR1'!D114:M114))*(G50)</f>
        <v>0.2872460679485422</v>
      </c>
      <c r="D40" s="380" t="s">
        <v>565</v>
      </c>
      <c r="E40" s="379" t="s">
        <v>62</v>
      </c>
      <c r="F40" s="19">
        <f>SUM('FBPQ LR4'!D12:M12)*(G50)</f>
        <v>3.016083713459696</v>
      </c>
      <c r="G40" s="380" t="s">
        <v>565</v>
      </c>
      <c r="H40" s="379" t="s">
        <v>62</v>
      </c>
      <c r="I40" s="19">
        <f>SUM('FBPQ LR6'!C29:L29)*(G50)</f>
        <v>0</v>
      </c>
      <c r="J40" s="380" t="s">
        <v>565</v>
      </c>
    </row>
    <row r="41" spans="2:9" ht="12.75">
      <c r="B41" s="379" t="s">
        <v>803</v>
      </c>
      <c r="C41" s="19">
        <f>(SUM('FBPQ LR1'!D86:M86)-SUM('FBPQ LR1'!D114:M114))*(1-G50)</f>
        <v>0.912753932051457</v>
      </c>
      <c r="E41" s="381" t="s">
        <v>803</v>
      </c>
      <c r="F41" s="19">
        <f>SUM('FBPQ LR4'!D12:M12)*(1-G50)</f>
        <v>9.583916286540308</v>
      </c>
      <c r="H41" s="381" t="s">
        <v>803</v>
      </c>
      <c r="I41" s="19">
        <f>SUM('FBPQ LR6'!C29:L29)*(1-G50)</f>
        <v>0</v>
      </c>
    </row>
    <row r="42" spans="2:9" ht="12.75">
      <c r="B42" s="379" t="s">
        <v>809</v>
      </c>
      <c r="C42" s="19">
        <f>SUM('FBPQ LR1'!D90:M90)-SUM('FBPQ LR1'!D118:M118)</f>
        <v>1.5500000000000016</v>
      </c>
      <c r="E42" s="381" t="s">
        <v>809</v>
      </c>
      <c r="F42" s="19">
        <f>SUM('FBPQ LR4'!D13:M13)</f>
        <v>17.700000000000003</v>
      </c>
      <c r="H42" s="381" t="s">
        <v>809</v>
      </c>
      <c r="I42" s="19">
        <f>SUM('FBPQ LR6'!C30:L30)</f>
        <v>0.7</v>
      </c>
    </row>
    <row r="43" spans="2:9" ht="12.75">
      <c r="B43" s="382" t="s">
        <v>211</v>
      </c>
      <c r="C43" s="20">
        <f>SUM('FBPQ LR1'!D94:M94)-SUM('FBPQ LR1'!D122:M122)</f>
        <v>0</v>
      </c>
      <c r="E43" s="383" t="s">
        <v>211</v>
      </c>
      <c r="F43" s="20">
        <f>SUM('FBPQ LR4'!D14:M14)</f>
        <v>9.3</v>
      </c>
      <c r="H43" s="383" t="s">
        <v>211</v>
      </c>
      <c r="I43" s="20">
        <f>SUM('FBPQ LR6'!C31:L31)</f>
        <v>0</v>
      </c>
    </row>
    <row r="46" spans="2:3" ht="24.75" customHeight="1">
      <c r="B46" s="1460" t="s">
        <v>98</v>
      </c>
      <c r="C46" s="1462"/>
    </row>
    <row r="47" spans="2:3" ht="27.75" customHeight="1">
      <c r="B47" s="1467" t="s">
        <v>99</v>
      </c>
      <c r="C47" s="1468"/>
    </row>
    <row r="48" spans="2:3" ht="12.75">
      <c r="B48" s="5"/>
      <c r="C48" s="18"/>
    </row>
    <row r="49" spans="2:3" ht="12.75">
      <c r="B49" s="381" t="s">
        <v>804</v>
      </c>
      <c r="C49" s="19">
        <f>SUM('FBPQ NL1'!D10:M16)</f>
        <v>44.29991810854676</v>
      </c>
    </row>
    <row r="50" spans="2:7" ht="12.75">
      <c r="B50" s="381" t="s">
        <v>62</v>
      </c>
      <c r="C50" s="19">
        <f>SUM('FBPQ NL1'!D21:M22)</f>
        <v>19.764494832303583</v>
      </c>
      <c r="D50" s="384" t="s">
        <v>566</v>
      </c>
      <c r="F50" s="384" t="s">
        <v>567</v>
      </c>
      <c r="G50" s="385">
        <f>C50/C51</f>
        <v>0.23937172329045198</v>
      </c>
    </row>
    <row r="51" spans="2:3" ht="12.75">
      <c r="B51" s="379" t="s">
        <v>803</v>
      </c>
      <c r="C51" s="19">
        <f>SUM('FBPQ NL1'!D17:M20)</f>
        <v>82.56821048291273</v>
      </c>
    </row>
    <row r="52" spans="2:3" ht="12.75">
      <c r="B52" s="381" t="s">
        <v>809</v>
      </c>
      <c r="C52" s="19">
        <f>SUM('FBPQ NL1'!D23:M28)</f>
        <v>38.099577218071225</v>
      </c>
    </row>
    <row r="53" spans="2:3" ht="12.75">
      <c r="B53" s="383" t="s">
        <v>211</v>
      </c>
      <c r="C53" s="20">
        <f>SUM('FBPQ NL1'!D29:M34)</f>
        <v>32.85760869119544</v>
      </c>
    </row>
  </sheetData>
  <sheetProtection/>
  <mergeCells count="20">
    <mergeCell ref="F3:H3"/>
    <mergeCell ref="F4:H4"/>
    <mergeCell ref="H17:I17"/>
    <mergeCell ref="H16:I16"/>
    <mergeCell ref="B4:D4"/>
    <mergeCell ref="B3:D3"/>
    <mergeCell ref="E17:F17"/>
    <mergeCell ref="E16:F16"/>
    <mergeCell ref="B16:C16"/>
    <mergeCell ref="B17:C17"/>
    <mergeCell ref="B25:C25"/>
    <mergeCell ref="B46:C46"/>
    <mergeCell ref="B47:C47"/>
    <mergeCell ref="B26:C26"/>
    <mergeCell ref="E37:F37"/>
    <mergeCell ref="H37:I37"/>
    <mergeCell ref="B36:C36"/>
    <mergeCell ref="E36:F36"/>
    <mergeCell ref="H36:I36"/>
    <mergeCell ref="B37:C37"/>
  </mergeCells>
  <hyperlinks>
    <hyperlink ref="F1" location="Inputs!A1" display="Index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dwornell</cp:lastModifiedBy>
  <cp:lastPrinted>2009-12-04T11:51:56Z</cp:lastPrinted>
  <dcterms:created xsi:type="dcterms:W3CDTF">2009-07-13T08:35:25Z</dcterms:created>
  <dcterms:modified xsi:type="dcterms:W3CDTF">2011-12-14T16:01:56Z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