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vodcs01\techncal\Policy Draft\SD5G\"/>
    </mc:Choice>
  </mc:AlternateContent>
  <workbookProtection workbookAlgorithmName="SHA-512" workbookHashValue="7Om3uJdiy2J0UY4kmaSvWvqfqm4AHH72nlv9dQROqVueM4Bddo2ZSfvKqfR33pshvcHS35kxuGXzPJhyMJUZyQ==" workbookSaltValue="VzcXAwn3kjpVJZcyiDY4uA==" workbookSpinCount="100000" lockStructure="1"/>
  <bookViews>
    <workbookView xWindow="480" yWindow="510" windowWidth="19875" windowHeight="8100" activeTab="1"/>
  </bookViews>
  <sheets>
    <sheet name="Heat Pump Determination" sheetId="2" r:id="rId1"/>
    <sheet name="Impedance Calculator " sheetId="1" r:id="rId2"/>
    <sheet name="Sheet1" sheetId="5" state="hidden" r:id="rId3"/>
  </sheets>
  <calcPr calcId="162913"/>
</workbook>
</file>

<file path=xl/calcChain.xml><?xml version="1.0" encoding="utf-8"?>
<calcChain xmlns="http://schemas.openxmlformats.org/spreadsheetml/2006/main">
  <c r="C9" i="5" l="1"/>
  <c r="G20" i="5" l="1"/>
  <c r="E23" i="5"/>
  <c r="E20" i="5"/>
  <c r="D15" i="5"/>
  <c r="J15" i="5" s="1"/>
  <c r="B20" i="5" l="1"/>
  <c r="F15" i="5"/>
  <c r="B15" i="5" s="1"/>
  <c r="B24" i="5" s="1"/>
  <c r="C6" i="5" l="1"/>
  <c r="C44" i="1"/>
  <c r="C22" i="1"/>
  <c r="C14" i="1"/>
  <c r="C57" i="1"/>
  <c r="G7" i="5"/>
  <c r="F7" i="5"/>
  <c r="C7" i="5"/>
  <c r="G6" i="5"/>
  <c r="F6" i="5"/>
  <c r="F5" i="5"/>
  <c r="C5" i="5"/>
  <c r="F9" i="5" l="1"/>
  <c r="G25" i="1" s="1"/>
  <c r="C62" i="1" l="1"/>
  <c r="C48" i="1"/>
  <c r="F25" i="2"/>
  <c r="F26" i="2" l="1"/>
  <c r="F20" i="2"/>
  <c r="F10" i="2"/>
  <c r="F8" i="2"/>
  <c r="F29" i="2" l="1"/>
  <c r="D16" i="2"/>
  <c r="F18" i="2" s="1"/>
  <c r="F12" i="2" l="1"/>
  <c r="G14" i="2"/>
  <c r="F16" i="2" l="1"/>
  <c r="C67" i="1" l="1"/>
  <c r="G18" i="1" s="1"/>
  <c r="C52" i="1"/>
  <c r="E35" i="1"/>
  <c r="C71" i="1" l="1"/>
  <c r="G15" i="1"/>
  <c r="G21" i="1" l="1"/>
  <c r="G10" i="1"/>
</calcChain>
</file>

<file path=xl/sharedStrings.xml><?xml version="1.0" encoding="utf-8"?>
<sst xmlns="http://schemas.openxmlformats.org/spreadsheetml/2006/main" count="84" uniqueCount="69">
  <si>
    <t>Quantity</t>
  </si>
  <si>
    <t>Single Phase</t>
  </si>
  <si>
    <t>Three Phase</t>
  </si>
  <si>
    <t>Notes;</t>
  </si>
  <si>
    <t xml:space="preserve">Minimum short circuit ratio factor </t>
  </si>
  <si>
    <t>Sum</t>
  </si>
  <si>
    <t xml:space="preserve">Summation exponent </t>
  </si>
  <si>
    <t>Combined (watts)</t>
  </si>
  <si>
    <r>
      <t>Minimum Short circuit power (MVA)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</si>
  <si>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t>(2) - At the point of common coupling (PCC)</t>
  </si>
  <si>
    <r>
      <t xml:space="preserve">Impedance calculator for EV's &amp; HP's rated </t>
    </r>
    <r>
      <rPr>
        <b/>
        <u/>
        <sz val="14"/>
        <color theme="1"/>
        <rFont val="Calibri"/>
        <family val="2"/>
        <scheme val="minor"/>
      </rPr>
      <t>&lt;</t>
    </r>
    <r>
      <rPr>
        <b/>
        <sz val="14"/>
        <color theme="1"/>
        <rFont val="Calibri"/>
        <family val="2"/>
        <scheme val="minor"/>
      </rPr>
      <t xml:space="preserve"> 32A per phase </t>
    </r>
  </si>
  <si>
    <t>EV Short circuit power ( single)</t>
  </si>
  <si>
    <t>HP Short circuit power ( single)</t>
  </si>
  <si>
    <t>EV &amp; HP Short circuit power ( single)</t>
  </si>
  <si>
    <t>EV Short circuit power (three ph)</t>
  </si>
  <si>
    <t>HP Short circuit power (three ph)</t>
  </si>
  <si>
    <t>EV &amp; HP Short circuit power (three ph)</t>
  </si>
  <si>
    <r>
      <t>Quantity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</si>
  <si>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(1) - Maximum single phase unbalanced load (e.g. device with 4 x outputs, 2 x car chargers on L1, 1 x car charger on L2 &amp; L3 - insert value for L1 only (quantity of 2)</t>
  </si>
  <si>
    <t>(3) - Value provided is Phase Impedance / Line Impedance (equivalent to three phase impedance)</t>
  </si>
  <si>
    <r>
      <t>Combined</t>
    </r>
    <r>
      <rPr>
        <vertAlign val="superscript"/>
        <sz val="11"/>
        <color theme="1"/>
        <rFont val="Calibri"/>
        <family val="2"/>
        <scheme val="minor"/>
      </rPr>
      <t>(3)</t>
    </r>
  </si>
  <si>
    <t>(4) - Rating of compressor motor only (do not include back up or boost heating elements)</t>
  </si>
  <si>
    <t>Power Quality - Harmonics</t>
  </si>
  <si>
    <t>Manufacturer states Heat Pump System meets technical requirements of EN/IEC 61000-3-2?</t>
  </si>
  <si>
    <t>Manufacturer states Heat Pump System complying with EN/IEC 61000-3-12?</t>
  </si>
  <si>
    <t>Manufacturer states Heat Pump System complies with EN/IEC 61000-3-12 provided that the short-circuit power Ssc is greater than or equal to xx.</t>
  </si>
  <si>
    <r>
      <t>3-phase supply short circuit level, S</t>
    </r>
    <r>
      <rPr>
        <vertAlign val="subscript"/>
        <sz val="12"/>
        <color theme="1"/>
        <rFont val="Calibri"/>
        <family val="2"/>
        <scheme val="minor"/>
      </rPr>
      <t>sc</t>
    </r>
    <r>
      <rPr>
        <sz val="12"/>
        <color theme="1"/>
        <rFont val="Calibri"/>
        <family val="2"/>
        <scheme val="minor"/>
      </rPr>
      <t xml:space="preserve">, required to allow connection under EN 61000-3-12 </t>
    </r>
  </si>
  <si>
    <t>Power Quality - Flicker</t>
  </si>
  <si>
    <t>Yes</t>
  </si>
  <si>
    <t>Rsce</t>
  </si>
  <si>
    <t xml:space="preserve">Power of Device </t>
  </si>
  <si>
    <t>Manufacturer states Heat Pump System meets technical requirements of EN/IEC 61000-3-3?</t>
  </si>
  <si>
    <r>
      <t>Manufacturer states Heat Pump System complying with EN/IEC 61000-3-11 provided that the source impedance is no more than Z</t>
    </r>
    <r>
      <rPr>
        <vertAlign val="subscript"/>
        <sz val="12"/>
        <color theme="1"/>
        <rFont val="Calibri"/>
        <family val="2"/>
        <scheme val="minor"/>
      </rPr>
      <t>max</t>
    </r>
    <r>
      <rPr>
        <sz val="12"/>
        <color theme="1"/>
        <rFont val="Calibri"/>
        <family val="2"/>
        <scheme val="minor"/>
      </rPr>
      <t>?</t>
    </r>
  </si>
  <si>
    <t>Manufacturer states Heat Pump System complying with BS EN/IEC 61000-3-11 provided that service current capacity ≥100A per phase?</t>
  </si>
  <si>
    <t>Configuration of Heat Pump</t>
  </si>
  <si>
    <t>Z Max provided by manufacturer</t>
  </si>
  <si>
    <t>Ω</t>
  </si>
  <si>
    <t>Harmonics</t>
  </si>
  <si>
    <t>Flicker</t>
  </si>
  <si>
    <t>61000-3-2</t>
  </si>
  <si>
    <t>61000-3-12</t>
  </si>
  <si>
    <t>Ssc</t>
  </si>
  <si>
    <t>61000-3-3</t>
  </si>
  <si>
    <t>Zmax</t>
  </si>
  <si>
    <t>&gt;100A</t>
  </si>
  <si>
    <t>required F/L</t>
  </si>
  <si>
    <t>Fault level</t>
  </si>
  <si>
    <t>from other sheet</t>
  </si>
  <si>
    <t>(kVA)</t>
  </si>
  <si>
    <t>*</t>
  </si>
  <si>
    <r>
      <t>Maximum Impedance at PCC (Ohms)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</si>
  <si>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Maximum Impedance at the cut out  (Ohms)</t>
    </r>
    <r>
      <rPr>
        <b/>
        <vertAlign val="superscript"/>
        <sz val="11"/>
        <color theme="1"/>
        <rFont val="Calibri"/>
        <family val="2"/>
        <scheme val="minor"/>
      </rPr>
      <t>(5)</t>
    </r>
  </si>
  <si>
    <t>(5) - The Flicker standard is assessed at the cutout and already includes diversity for multiple connections</t>
  </si>
  <si>
    <t>Single phase</t>
  </si>
  <si>
    <t>Rating of single phase EV charger (kVA)</t>
  </si>
  <si>
    <r>
      <t>Rating of single phase heat pump (kVA)</t>
    </r>
    <r>
      <rPr>
        <b/>
        <vertAlign val="superscript"/>
        <sz val="11"/>
        <color theme="1"/>
        <rFont val="Calibri"/>
        <family val="2"/>
        <scheme val="minor"/>
      </rPr>
      <t>(4)</t>
    </r>
  </si>
  <si>
    <t>Rating of three phase EV charger (kVA)</t>
  </si>
  <si>
    <r>
      <t>Rating of three phase heat pump (kVA)</t>
    </r>
    <r>
      <rPr>
        <b/>
        <vertAlign val="superscript"/>
        <sz val="11"/>
        <color theme="1"/>
        <rFont val="Calibri"/>
        <family val="2"/>
        <scheme val="minor"/>
      </rPr>
      <t>(4)</t>
    </r>
  </si>
  <si>
    <t>No</t>
  </si>
  <si>
    <t>Type of metering</t>
  </si>
  <si>
    <t>Whole current</t>
  </si>
  <si>
    <t>Minimum short circuit ratio factor (whole current)</t>
  </si>
  <si>
    <t>Minimum short circuit ratio factor (CT  Metering)</t>
  </si>
  <si>
    <t>No of 1 ph heat pump</t>
  </si>
  <si>
    <t>No of 3 ph heat pump</t>
  </si>
  <si>
    <t>Rating of heat pump</t>
  </si>
  <si>
    <t>kVA</t>
  </si>
  <si>
    <t>(6) - Calculation is based on ENA EREC G5/5 Stage 1B-1 assessment using Fsce of 15 for EV and Fsce as per G5 requirements for HP and a summation exponent of 2 between differing technology.</t>
  </si>
  <si>
    <t xml:space="preserve">Short circuit power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</si>
</sst>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65" fontId="0" fillId="2" borderId="0" xfId="0" applyNumberFormat="1" applyFill="1"/>
    <xf numFmtId="0" fontId="0" fillId="3" borderId="6" xfId="0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0" fillId="4" borderId="0" xfId="0" applyFill="1" applyBorder="1"/>
    <xf numFmtId="0" fontId="0" fillId="4" borderId="5" xfId="0" applyFill="1" applyBorder="1"/>
    <xf numFmtId="0" fontId="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7" xfId="0" applyFill="1" applyBorder="1"/>
    <xf numFmtId="0" fontId="0" fillId="4" borderId="8" xfId="0" applyFill="1" applyBorder="1" applyAlignment="1">
      <alignment horizontal="center"/>
    </xf>
    <xf numFmtId="0" fontId="0" fillId="4" borderId="9" xfId="0" applyFill="1" applyBorder="1"/>
    <xf numFmtId="0" fontId="0" fillId="5" borderId="6" xfId="0" applyFill="1" applyBorder="1" applyAlignment="1" applyProtection="1">
      <alignment horizontal="center"/>
      <protection locked="0"/>
    </xf>
    <xf numFmtId="164" fontId="0" fillId="6" borderId="6" xfId="0" applyNumberFormat="1" applyFill="1" applyBorder="1" applyAlignment="1" applyProtection="1">
      <alignment horizontal="center"/>
    </xf>
    <xf numFmtId="164" fontId="0" fillId="7" borderId="6" xfId="0" applyNumberFormat="1" applyFill="1" applyBorder="1" applyAlignment="1">
      <alignment horizontal="center"/>
    </xf>
    <xf numFmtId="0" fontId="6" fillId="2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0" fillId="0" borderId="0" xfId="0" applyBorder="1"/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5" xfId="0" applyFill="1" applyBorder="1"/>
    <xf numFmtId="0" fontId="6" fillId="2" borderId="0" xfId="0" applyFont="1" applyFill="1" applyBorder="1" applyAlignment="1">
      <alignment vertical="center"/>
    </xf>
    <xf numFmtId="0" fontId="10" fillId="2" borderId="0" xfId="0" applyFont="1" applyFill="1" applyBorder="1"/>
    <xf numFmtId="0" fontId="11" fillId="2" borderId="0" xfId="0" applyFont="1" applyFill="1" applyBorder="1"/>
    <xf numFmtId="0" fontId="0" fillId="0" borderId="0" xfId="0" applyBorder="1" applyAlignment="1">
      <alignment horizontal="center" vertical="center"/>
    </xf>
    <xf numFmtId="0" fontId="6" fillId="2" borderId="0" xfId="0" applyFont="1" applyFill="1" applyBorder="1" applyAlignment="1">
      <alignment wrapText="1"/>
    </xf>
    <xf numFmtId="0" fontId="8" fillId="2" borderId="0" xfId="0" applyFont="1" applyFill="1" applyBorder="1"/>
    <xf numFmtId="0" fontId="12" fillId="2" borderId="0" xfId="0" applyFont="1" applyFill="1" applyBorder="1"/>
    <xf numFmtId="0" fontId="13" fillId="2" borderId="0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0" fillId="0" borderId="4" xfId="0" applyBorder="1"/>
    <xf numFmtId="0" fontId="9" fillId="2" borderId="0" xfId="0" applyFont="1" applyFill="1" applyBorder="1"/>
    <xf numFmtId="0" fontId="6" fillId="2" borderId="5" xfId="0" applyFont="1" applyFill="1" applyBorder="1" applyAlignmen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11" borderId="0" xfId="0" applyFill="1"/>
    <xf numFmtId="0" fontId="0" fillId="11" borderId="0" xfId="0" applyFill="1" applyBorder="1" applyAlignment="1">
      <alignment horizontal="center" vertical="center"/>
    </xf>
    <xf numFmtId="0" fontId="14" fillId="2" borderId="4" xfId="1" applyFill="1" applyBorder="1"/>
    <xf numFmtId="0" fontId="14" fillId="0" borderId="4" xfId="1" applyBorder="1"/>
    <xf numFmtId="0" fontId="0" fillId="12" borderId="6" xfId="0" applyFill="1" applyBorder="1" applyAlignment="1">
      <alignment horizontal="center"/>
    </xf>
    <xf numFmtId="0" fontId="0" fillId="11" borderId="0" xfId="0" applyFill="1" applyBorder="1"/>
    <xf numFmtId="0" fontId="6" fillId="13" borderId="6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6" fillId="12" borderId="6" xfId="0" applyFont="1" applyFill="1" applyBorder="1" applyAlignment="1">
      <alignment horizontal="center" vertical="center"/>
    </xf>
    <xf numFmtId="0" fontId="0" fillId="5" borderId="6" xfId="0" applyFill="1" applyBorder="1" applyAlignment="1" applyProtection="1">
      <alignment horizontal="center"/>
    </xf>
    <xf numFmtId="0" fontId="0" fillId="13" borderId="6" xfId="0" applyFill="1" applyBorder="1" applyAlignment="1" applyProtection="1">
      <alignment horizontal="center" vertical="center"/>
      <protection locked="0"/>
    </xf>
    <xf numFmtId="0" fontId="0" fillId="9" borderId="6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6" xfId="0" applyBorder="1"/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1">
    <dxf>
      <font>
        <strike/>
        <color rgb="FFFF0000"/>
      </font>
      <fill>
        <patternFill>
          <bgColor theme="5" tint="0.79998168889431442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strike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strike/>
        <color rgb="FFFF0000"/>
      </font>
    </dxf>
  </dxfs>
  <tableStyles count="0" defaultTableStyle="TableStyleMedium2" defaultPivotStyle="PivotStyleLight16"/>
  <colors>
    <mruColors>
      <color rgb="FF99FFCC"/>
      <color rgb="FF00FF00"/>
      <color rgb="FF66FFFF"/>
      <color rgb="FF9999FF"/>
      <color rgb="FF9966FF"/>
      <color rgb="FFFF9999"/>
      <color rgb="FFFF66CC"/>
      <color rgb="FFFF3300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\\Avodcs01\techncal\Policy%20Draft\SD5G\Links%20for%20SD5G\PQ%20hyperlinks\Ssc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file:///\\Avodcs01\techncal\Policy%20Draft\SD5G\Links%20for%20SD5G\PQ%20hyperlinks\61000312.docx" TargetMode="External"/><Relationship Id="rId1" Type="http://schemas.openxmlformats.org/officeDocument/2006/relationships/hyperlink" Target="file:///\\Avodcs01\techncal\Policy%20Draft\SD5G\Links%20for%20SD5G\PQ%20hyperlinks\6100032.docx" TargetMode="External"/><Relationship Id="rId6" Type="http://schemas.openxmlformats.org/officeDocument/2006/relationships/hyperlink" Target="file:///\\Avodcs01\techncal\Policy%20Draft\SD5G\Links%20for%20SD5G\PQ%20hyperlinks\610003111.docx" TargetMode="External"/><Relationship Id="rId5" Type="http://schemas.openxmlformats.org/officeDocument/2006/relationships/hyperlink" Target="file:///\\Avodcs01\techncal\Policy%20Draft\SD5G\Links%20for%20SD5G\PQ%20hyperlinks\61000311.docx" TargetMode="External"/><Relationship Id="rId4" Type="http://schemas.openxmlformats.org/officeDocument/2006/relationships/hyperlink" Target="file:///\\Avodcs01\techncal\Policy%20Draft\SD5G\Links%20for%20SD5G\PQ%20hyperlinks\61000333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A1:V43"/>
  <sheetViews>
    <sheetView zoomScale="80" zoomScaleNormal="80" workbookViewId="0">
      <selection activeCell="D10" sqref="D10"/>
    </sheetView>
  </sheetViews>
  <sheetFormatPr defaultRowHeight="15" x14ac:dyDescent="0.25"/>
  <cols>
    <col min="1" max="1" width="2" style="1" customWidth="1"/>
    <col min="2" max="2" width="3.85546875" customWidth="1"/>
    <col min="3" max="3" width="90.28515625" customWidth="1"/>
    <col min="4" max="4" width="14.42578125" customWidth="1"/>
    <col min="5" max="5" width="4.28515625" customWidth="1"/>
    <col min="6" max="6" width="10.42578125" customWidth="1"/>
    <col min="12" max="12" width="6.28515625" customWidth="1"/>
  </cols>
  <sheetData>
    <row r="1" spans="1:22" ht="10.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7.5" customHeight="1" thickBot="1" x14ac:dyDescent="0.3">
      <c r="A2" s="71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1"/>
      <c r="O2" s="71"/>
      <c r="P2" s="71"/>
      <c r="Q2" s="71"/>
      <c r="R2" s="71"/>
      <c r="S2" s="71"/>
      <c r="T2" s="71"/>
      <c r="U2" s="71"/>
      <c r="V2" s="71"/>
    </row>
    <row r="3" spans="1:22" ht="7.5" customHeight="1" x14ac:dyDescent="0.25">
      <c r="A3" s="71"/>
      <c r="B3" s="49"/>
      <c r="C3" s="50"/>
      <c r="D3" s="50"/>
      <c r="E3" s="50"/>
      <c r="F3" s="50"/>
      <c r="G3" s="50"/>
      <c r="H3" s="50"/>
      <c r="I3" s="50"/>
      <c r="J3" s="50"/>
      <c r="K3" s="50"/>
      <c r="L3" s="51"/>
      <c r="M3" s="76"/>
      <c r="N3" s="71"/>
      <c r="O3" s="71"/>
      <c r="P3" s="71"/>
      <c r="Q3" s="71"/>
      <c r="R3" s="71"/>
      <c r="S3" s="71"/>
      <c r="T3" s="71"/>
      <c r="U3" s="71"/>
      <c r="V3" s="71"/>
    </row>
    <row r="4" spans="1:22" ht="18.75" x14ac:dyDescent="0.3">
      <c r="A4" s="71"/>
      <c r="B4" s="52"/>
      <c r="C4" s="53" t="s">
        <v>22</v>
      </c>
      <c r="D4" s="29"/>
      <c r="E4" s="29"/>
      <c r="F4" s="29"/>
      <c r="G4" s="29"/>
      <c r="H4" s="29"/>
      <c r="I4" s="29"/>
      <c r="J4" s="29"/>
      <c r="K4" s="2"/>
      <c r="L4" s="54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9.75" customHeight="1" thickBot="1" x14ac:dyDescent="0.35">
      <c r="A5" s="71"/>
      <c r="B5" s="52"/>
      <c r="C5" s="53"/>
      <c r="D5" s="29"/>
      <c r="E5" s="29"/>
      <c r="F5" s="29"/>
      <c r="G5" s="29"/>
      <c r="H5" s="29"/>
      <c r="I5" s="29"/>
      <c r="J5" s="29"/>
      <c r="K5" s="2"/>
      <c r="L5" s="54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6.5" thickBot="1" x14ac:dyDescent="0.3">
      <c r="A6" s="71"/>
      <c r="B6" s="52"/>
      <c r="C6" s="29" t="s">
        <v>30</v>
      </c>
      <c r="D6" s="77">
        <v>23.2</v>
      </c>
      <c r="E6" s="55"/>
      <c r="F6" s="56" t="s">
        <v>48</v>
      </c>
      <c r="G6" s="29"/>
      <c r="H6" s="29"/>
      <c r="I6" s="29"/>
      <c r="J6" s="29"/>
      <c r="K6" s="2"/>
      <c r="L6" s="54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9.75" customHeight="1" thickBot="1" x14ac:dyDescent="0.3">
      <c r="A7" s="71"/>
      <c r="B7" s="52"/>
      <c r="C7" s="29"/>
      <c r="D7" s="29"/>
      <c r="E7" s="29"/>
      <c r="F7" s="29"/>
      <c r="G7" s="29"/>
      <c r="H7" s="29"/>
      <c r="I7" s="29"/>
      <c r="J7" s="29"/>
      <c r="K7" s="2"/>
      <c r="L7" s="54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6.5" thickBot="1" x14ac:dyDescent="0.3">
      <c r="A8" s="71"/>
      <c r="B8" s="74" t="s">
        <v>49</v>
      </c>
      <c r="C8" s="55" t="s">
        <v>23</v>
      </c>
      <c r="D8" s="78" t="s">
        <v>58</v>
      </c>
      <c r="E8" s="55"/>
      <c r="F8" s="57" t="str">
        <f>IF($D$8="yes","Proceed to Flicker questions","")</f>
        <v/>
      </c>
      <c r="G8" s="29"/>
      <c r="H8" s="29"/>
      <c r="I8" s="29"/>
      <c r="J8" s="29"/>
      <c r="K8" s="2"/>
      <c r="L8" s="54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6.5" thickBot="1" x14ac:dyDescent="0.3">
      <c r="A9" s="71"/>
      <c r="B9" s="52"/>
      <c r="C9" s="2"/>
      <c r="D9" s="58"/>
      <c r="E9" s="55"/>
      <c r="F9" s="29"/>
      <c r="G9" s="29"/>
      <c r="H9" s="29"/>
      <c r="I9" s="29"/>
      <c r="J9" s="29"/>
      <c r="K9" s="2"/>
      <c r="L9" s="54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6.5" thickBot="1" x14ac:dyDescent="0.3">
      <c r="A10" s="71"/>
      <c r="B10" s="73" t="s">
        <v>49</v>
      </c>
      <c r="C10" s="29" t="s">
        <v>24</v>
      </c>
      <c r="D10" s="79" t="s">
        <v>58</v>
      </c>
      <c r="E10" s="55"/>
      <c r="F10" s="57" t="str">
        <f>IF($D$10="yes","Proceed to Flicker questions","")</f>
        <v/>
      </c>
      <c r="G10" s="29"/>
      <c r="H10" s="29"/>
      <c r="I10" s="29"/>
      <c r="J10" s="29"/>
      <c r="K10" s="2"/>
      <c r="L10" s="54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6.5" thickBot="1" x14ac:dyDescent="0.3">
      <c r="A11" s="71"/>
      <c r="B11" s="52"/>
      <c r="C11" s="29"/>
      <c r="D11" s="58"/>
      <c r="E11" s="55"/>
      <c r="F11" s="29"/>
      <c r="G11" s="29"/>
      <c r="H11" s="29"/>
      <c r="I11" s="29"/>
      <c r="J11" s="29"/>
      <c r="K11" s="2"/>
      <c r="L11" s="54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31.5" customHeight="1" thickBot="1" x14ac:dyDescent="0.3">
      <c r="A12" s="71"/>
      <c r="B12" s="73" t="s">
        <v>49</v>
      </c>
      <c r="C12" s="59" t="s">
        <v>25</v>
      </c>
      <c r="D12" s="79" t="s">
        <v>28</v>
      </c>
      <c r="E12" s="55"/>
      <c r="F12" s="57" t="str">
        <f>IF($D$12="yes","Enter fault level value provided by manufacturer into Cell D11","")</f>
        <v>Enter fault level value provided by manufacturer into Cell D11</v>
      </c>
      <c r="G12" s="29"/>
      <c r="H12" s="29"/>
      <c r="I12" s="29"/>
      <c r="J12" s="29"/>
      <c r="K12" s="2"/>
      <c r="L12" s="54"/>
      <c r="M12" s="71"/>
      <c r="N12" s="71"/>
      <c r="O12" s="72"/>
      <c r="P12" s="71"/>
      <c r="Q12" s="71"/>
      <c r="R12" s="71"/>
      <c r="S12" s="71"/>
      <c r="T12" s="71"/>
      <c r="U12" s="71"/>
      <c r="V12" s="71"/>
    </row>
    <row r="13" spans="1:22" ht="16.5" thickBot="1" x14ac:dyDescent="0.3">
      <c r="A13" s="71"/>
      <c r="B13" s="52"/>
      <c r="C13" s="59"/>
      <c r="D13" s="58"/>
      <c r="E13" s="55"/>
      <c r="F13" s="29"/>
      <c r="G13" s="29"/>
      <c r="H13" s="29"/>
      <c r="I13" s="29"/>
      <c r="J13" s="29"/>
      <c r="K13" s="2"/>
      <c r="L13" s="54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19.5" thickBot="1" x14ac:dyDescent="0.4">
      <c r="A14" s="71"/>
      <c r="B14" s="52"/>
      <c r="C14" s="29" t="s">
        <v>26</v>
      </c>
      <c r="D14" s="77">
        <v>2400</v>
      </c>
      <c r="E14" s="55"/>
      <c r="F14" s="56" t="s">
        <v>48</v>
      </c>
      <c r="G14" s="60" t="str">
        <f>IF($D$14="Yes","Procede to Impedance Calculator 2","")</f>
        <v/>
      </c>
      <c r="H14" s="29"/>
      <c r="I14" s="29"/>
      <c r="J14" s="29"/>
      <c r="K14" s="2"/>
      <c r="L14" s="54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 ht="16.5" thickBot="1" x14ac:dyDescent="0.3">
      <c r="A15" s="71"/>
      <c r="B15" s="52"/>
      <c r="C15" s="29"/>
      <c r="D15" s="32"/>
      <c r="E15" s="55"/>
      <c r="F15" s="29"/>
      <c r="G15" s="29"/>
      <c r="H15" s="29"/>
      <c r="I15" s="29"/>
      <c r="J15" s="29"/>
      <c r="K15" s="2"/>
      <c r="L15" s="54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ht="16.5" thickBot="1" x14ac:dyDescent="0.3">
      <c r="A16" s="71"/>
      <c r="B16" s="52"/>
      <c r="C16" s="29" t="s">
        <v>29</v>
      </c>
      <c r="D16" s="80">
        <f>D14/D6</f>
        <v>103.44827586206897</v>
      </c>
      <c r="E16" s="55"/>
      <c r="F16" s="61" t="str">
        <f>IF(D16&lt;15,"Value should be &gt;15 - Ask for revised figures","")</f>
        <v/>
      </c>
      <c r="G16" s="29"/>
      <c r="H16" s="29"/>
      <c r="I16" s="29"/>
      <c r="J16" s="29"/>
      <c r="K16" s="2"/>
      <c r="L16" s="54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15.75" x14ac:dyDescent="0.25">
      <c r="A17" s="71"/>
      <c r="B17" s="52"/>
      <c r="C17" s="29"/>
      <c r="D17" s="55"/>
      <c r="E17" s="55"/>
      <c r="F17" s="29"/>
      <c r="G17" s="29"/>
      <c r="H17" s="29"/>
      <c r="I17" s="29"/>
      <c r="J17" s="29"/>
      <c r="K17" s="2"/>
      <c r="L17" s="54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8.75" x14ac:dyDescent="0.3">
      <c r="A18" s="71"/>
      <c r="B18" s="52"/>
      <c r="C18" s="53" t="s">
        <v>27</v>
      </c>
      <c r="D18" s="55"/>
      <c r="E18" s="55"/>
      <c r="F18" s="62" t="str">
        <f>IF(D16&gt;15,"Proceed to Flicker questions","")</f>
        <v>Proceed to Flicker questions</v>
      </c>
      <c r="G18" s="29"/>
      <c r="H18" s="29"/>
      <c r="I18" s="29"/>
      <c r="J18" s="29"/>
      <c r="K18" s="2"/>
      <c r="L18" s="54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6.5" thickBot="1" x14ac:dyDescent="0.3">
      <c r="A19" s="71"/>
      <c r="B19" s="52"/>
      <c r="C19" s="29"/>
      <c r="D19" s="55"/>
      <c r="E19" s="55"/>
      <c r="F19" s="29"/>
      <c r="G19" s="29"/>
      <c r="H19" s="29"/>
      <c r="I19" s="29"/>
      <c r="J19" s="29"/>
      <c r="K19" s="2"/>
      <c r="L19" s="54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6.5" thickBot="1" x14ac:dyDescent="0.3">
      <c r="A20" s="71"/>
      <c r="B20" s="73" t="s">
        <v>49</v>
      </c>
      <c r="C20" s="63" t="s">
        <v>31</v>
      </c>
      <c r="D20" s="78" t="s">
        <v>58</v>
      </c>
      <c r="E20" s="55"/>
      <c r="F20" s="57" t="str">
        <f>IF($D$20="yes","Proceed to Impedance Calculator","")</f>
        <v/>
      </c>
      <c r="G20" s="29"/>
      <c r="H20" s="29"/>
      <c r="I20" s="29"/>
      <c r="J20" s="29"/>
      <c r="K20" s="2"/>
      <c r="L20" s="54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6.5" thickBot="1" x14ac:dyDescent="0.3">
      <c r="A21" s="71"/>
      <c r="B21" s="52"/>
      <c r="C21" s="29"/>
      <c r="D21" s="32"/>
      <c r="E21" s="55"/>
      <c r="F21" s="29"/>
      <c r="G21" s="29"/>
      <c r="H21" s="29"/>
      <c r="I21" s="29"/>
      <c r="J21" s="29"/>
      <c r="K21" s="2"/>
      <c r="L21" s="54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35.25" thickBot="1" x14ac:dyDescent="0.4">
      <c r="A22" s="71"/>
      <c r="B22" s="73" t="s">
        <v>49</v>
      </c>
      <c r="C22" s="64" t="s">
        <v>32</v>
      </c>
      <c r="D22" s="78" t="s">
        <v>28</v>
      </c>
      <c r="E22" s="55"/>
      <c r="F22" s="29"/>
      <c r="G22" s="29"/>
      <c r="H22" s="29"/>
      <c r="I22" s="29"/>
      <c r="J22" s="29"/>
      <c r="K22" s="2"/>
      <c r="L22" s="54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6.5" thickBot="1" x14ac:dyDescent="0.3">
      <c r="A23" s="71"/>
      <c r="B23" s="52"/>
      <c r="C23" s="59"/>
      <c r="D23" s="32"/>
      <c r="E23" s="55"/>
      <c r="F23" s="29"/>
      <c r="G23" s="29"/>
      <c r="H23" s="29"/>
      <c r="I23" s="29"/>
      <c r="J23" s="29"/>
      <c r="K23" s="2"/>
      <c r="L23" s="54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16.5" thickBot="1" x14ac:dyDescent="0.3">
      <c r="A24" s="71"/>
      <c r="B24" s="65"/>
      <c r="C24" s="2" t="s">
        <v>35</v>
      </c>
      <c r="D24" s="82">
        <v>0.36</v>
      </c>
      <c r="E24" s="34"/>
      <c r="F24" s="66" t="s">
        <v>36</v>
      </c>
      <c r="G24" s="2"/>
      <c r="H24" s="2"/>
      <c r="I24" s="2"/>
      <c r="J24" s="2"/>
      <c r="K24" s="2"/>
      <c r="L24" s="54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16.5" thickBot="1" x14ac:dyDescent="0.3">
      <c r="A25" s="71"/>
      <c r="B25" s="52"/>
      <c r="C25" s="29"/>
      <c r="D25" s="32"/>
      <c r="E25" s="55"/>
      <c r="F25" s="57" t="str">
        <f>IF($D$24&gt;=0.00001,"Proceed to Impedance Calculator","")</f>
        <v>Proceed to Impedance Calculator</v>
      </c>
      <c r="G25" s="29"/>
      <c r="H25" s="29"/>
      <c r="I25" s="29"/>
      <c r="J25" s="29"/>
      <c r="K25" s="2"/>
      <c r="L25" s="54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32.25" thickBot="1" x14ac:dyDescent="0.3">
      <c r="A26" s="71"/>
      <c r="B26" s="73" t="s">
        <v>49</v>
      </c>
      <c r="C26" s="64" t="s">
        <v>33</v>
      </c>
      <c r="D26" s="79" t="s">
        <v>28</v>
      </c>
      <c r="E26" s="55"/>
      <c r="F26" s="89" t="str">
        <f>IF(D26="yes","Enter phase configuration and then proceed to Impedance Calculator ","")</f>
        <v xml:space="preserve">Enter phase configuration and then proceed to Impedance Calculator </v>
      </c>
      <c r="G26" s="89"/>
      <c r="H26" s="89"/>
      <c r="I26" s="89"/>
      <c r="J26" s="33"/>
      <c r="K26" s="33"/>
      <c r="L26" s="67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16.5" thickBot="1" x14ac:dyDescent="0.3">
      <c r="A27" s="71"/>
      <c r="B27" s="52"/>
      <c r="C27" s="29"/>
      <c r="D27" s="30"/>
      <c r="E27" s="29"/>
      <c r="F27" s="29"/>
      <c r="G27" s="29"/>
      <c r="H27" s="29"/>
      <c r="I27" s="29"/>
      <c r="J27" s="29"/>
      <c r="K27" s="2"/>
      <c r="L27" s="54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16.5" thickBot="1" x14ac:dyDescent="0.3">
      <c r="A28" s="71"/>
      <c r="B28" s="52"/>
      <c r="C28" s="64" t="s">
        <v>34</v>
      </c>
      <c r="D28" s="78" t="s">
        <v>53</v>
      </c>
      <c r="E28" s="55"/>
      <c r="F28" s="29"/>
      <c r="G28" s="29"/>
      <c r="H28" s="29"/>
      <c r="I28" s="29"/>
      <c r="J28" s="29"/>
      <c r="K28" s="2"/>
      <c r="L28" s="54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15.75" x14ac:dyDescent="0.25">
      <c r="A29" s="71"/>
      <c r="B29" s="52"/>
      <c r="C29" s="29"/>
      <c r="D29" s="2"/>
      <c r="E29" s="29"/>
      <c r="F29" s="90" t="str">
        <f>IF(D26="yes", "Please note service cable does not require 100A capacity","")</f>
        <v>Please note service cable does not require 100A capacity</v>
      </c>
      <c r="G29" s="90"/>
      <c r="H29" s="90"/>
      <c r="I29" s="90"/>
      <c r="J29" s="29"/>
      <c r="K29" s="2"/>
      <c r="L29" s="54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15.75" x14ac:dyDescent="0.25">
      <c r="A30" s="71"/>
      <c r="B30" s="52"/>
      <c r="C30" s="29"/>
      <c r="D30" s="2"/>
      <c r="E30" s="29"/>
      <c r="F30" s="90"/>
      <c r="G30" s="90"/>
      <c r="H30" s="90"/>
      <c r="I30" s="90"/>
      <c r="J30" s="29"/>
      <c r="K30" s="2"/>
      <c r="L30" s="54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5.75" thickBot="1" x14ac:dyDescent="0.3">
      <c r="A31" s="71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 x14ac:dyDescent="0.25">
      <c r="A43" s="71"/>
    </row>
  </sheetData>
  <sheetProtection password="D881" sheet="1" objects="1" scenarios="1"/>
  <mergeCells count="2">
    <mergeCell ref="F26:I26"/>
    <mergeCell ref="F29:I30"/>
  </mergeCells>
  <conditionalFormatting sqref="D16">
    <cfRule type="cellIs" dxfId="10" priority="10" operator="lessThan">
      <formula>15</formula>
    </cfRule>
  </conditionalFormatting>
  <conditionalFormatting sqref="C12:K16">
    <cfRule type="expression" dxfId="9" priority="4">
      <formula>$D$10="Yes"</formula>
    </cfRule>
  </conditionalFormatting>
  <conditionalFormatting sqref="C22:K30">
    <cfRule type="expression" dxfId="8" priority="8">
      <formula>$D$20="yes"</formula>
    </cfRule>
  </conditionalFormatting>
  <conditionalFormatting sqref="C27:K28 C26:F26 C29:E29 J29:K29">
    <cfRule type="expression" dxfId="7" priority="7">
      <formula>$D$22="Yes"</formula>
    </cfRule>
  </conditionalFormatting>
  <conditionalFormatting sqref="C10:I17">
    <cfRule type="expression" dxfId="6" priority="2">
      <formula>$D$8="Yes"</formula>
    </cfRule>
  </conditionalFormatting>
  <conditionalFormatting sqref="D6">
    <cfRule type="cellIs" dxfId="5" priority="1" operator="lessThan">
      <formula>0.1</formula>
    </cfRule>
    <cfRule type="cellIs" dxfId="4" priority="6" operator="greaterThan">
      <formula>23</formula>
    </cfRule>
  </conditionalFormatting>
  <dataValidations count="3">
    <dataValidation type="list" allowBlank="1" showInputMessage="1" showErrorMessage="1" sqref="D8 D10 D12 D22:D23">
      <formula1>"Yes, No"</formula1>
    </dataValidation>
    <dataValidation type="list" allowBlank="1" showInputMessage="1" showErrorMessage="1" sqref="D20 D26">
      <formula1>"Yes, No,"</formula1>
    </dataValidation>
    <dataValidation type="list" allowBlank="1" showInputMessage="1" showErrorMessage="1" sqref="D28">
      <formula1>"Single phase, Split phase, Three phase,"</formula1>
    </dataValidation>
  </dataValidations>
  <hyperlinks>
    <hyperlink ref="B8" r:id="rId1"/>
    <hyperlink ref="B10" r:id="rId2"/>
    <hyperlink ref="B12" r:id="rId3"/>
    <hyperlink ref="B20" r:id="rId4"/>
    <hyperlink ref="B22" r:id="rId5"/>
    <hyperlink ref="B26" r:id="rId6"/>
  </hyperlinks>
  <pageMargins left="0.7" right="0.7" top="0.75" bottom="0.75" header="0.3" footer="0.3"/>
  <pageSetup paperSize="9" orientation="portrait" verticalDpi="598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A1:AE143"/>
  <sheetViews>
    <sheetView tabSelected="1" workbookViewId="0">
      <selection activeCell="C80" sqref="C80"/>
    </sheetView>
  </sheetViews>
  <sheetFormatPr defaultRowHeight="15" x14ac:dyDescent="0.25"/>
  <cols>
    <col min="2" max="2" width="9.140625" customWidth="1"/>
    <col min="3" max="3" width="35.5703125" customWidth="1"/>
    <col min="5" max="5" width="15.85546875" customWidth="1"/>
    <col min="6" max="6" width="13.85546875" customWidth="1"/>
    <col min="7" max="7" width="21" customWidth="1"/>
    <col min="8" max="8" width="11.140625" customWidth="1"/>
    <col min="9" max="9" width="12" customWidth="1"/>
  </cols>
  <sheetData>
    <row r="1" spans="1:3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1" x14ac:dyDescent="0.25">
      <c r="A2" s="1"/>
      <c r="B2" s="11"/>
      <c r="C2" s="12"/>
      <c r="D2" s="12"/>
      <c r="E2" s="12"/>
      <c r="F2" s="12"/>
      <c r="G2" s="12"/>
      <c r="H2" s="1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.75" x14ac:dyDescent="0.3">
      <c r="A3" s="1"/>
      <c r="B3" s="14"/>
      <c r="C3" s="15" t="s">
        <v>10</v>
      </c>
      <c r="D3" s="16"/>
      <c r="E3" s="16"/>
      <c r="F3" s="16"/>
      <c r="G3" s="17"/>
      <c r="H3" s="1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8.75" x14ac:dyDescent="0.3">
      <c r="A4" s="1"/>
      <c r="B4" s="14"/>
      <c r="C4" s="15"/>
      <c r="D4" s="16"/>
      <c r="E4" s="16"/>
      <c r="F4" s="16"/>
      <c r="G4" s="17"/>
      <c r="H4" s="1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/>
      <c r="B5" s="14"/>
      <c r="C5" s="19" t="s">
        <v>59</v>
      </c>
      <c r="D5" s="16"/>
      <c r="E5" s="16"/>
      <c r="F5" s="16"/>
      <c r="G5" s="17"/>
      <c r="H5" s="1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75" thickBot="1" x14ac:dyDescent="0.3">
      <c r="A6" s="1"/>
      <c r="B6" s="14"/>
      <c r="C6" s="19"/>
      <c r="D6" s="16"/>
      <c r="E6" s="16"/>
      <c r="F6" s="16"/>
      <c r="G6" s="17"/>
      <c r="H6" s="1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thickBot="1" x14ac:dyDescent="0.3">
      <c r="A7" s="1"/>
      <c r="B7" s="14"/>
      <c r="C7" s="83" t="s">
        <v>60</v>
      </c>
      <c r="D7" s="17"/>
      <c r="E7" s="17"/>
      <c r="F7" s="17"/>
      <c r="G7" s="17"/>
      <c r="H7" s="1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7.25" x14ac:dyDescent="0.25">
      <c r="A8" s="1"/>
      <c r="B8" s="14"/>
      <c r="C8" s="19" t="s">
        <v>54</v>
      </c>
      <c r="D8" s="20"/>
      <c r="E8" s="19" t="s">
        <v>17</v>
      </c>
      <c r="F8" s="20"/>
      <c r="G8" s="19" t="s">
        <v>8</v>
      </c>
      <c r="H8" s="1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thickBot="1" x14ac:dyDescent="0.3">
      <c r="A9" s="1"/>
      <c r="B9" s="14"/>
      <c r="C9" s="20"/>
      <c r="D9" s="20"/>
      <c r="E9" s="20"/>
      <c r="F9" s="20"/>
      <c r="G9" s="20"/>
      <c r="H9" s="1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thickBot="1" x14ac:dyDescent="0.3">
      <c r="A10" s="1"/>
      <c r="B10" s="14"/>
      <c r="C10" s="10">
        <v>7.36</v>
      </c>
      <c r="D10" s="20"/>
      <c r="E10" s="10">
        <v>0</v>
      </c>
      <c r="F10" s="20"/>
      <c r="G10" s="27">
        <f>C71/1000000</f>
        <v>4.8</v>
      </c>
      <c r="H10" s="1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"/>
      <c r="B11" s="14"/>
      <c r="C11" s="20"/>
      <c r="D11" s="20"/>
      <c r="E11" s="20"/>
      <c r="F11" s="20"/>
      <c r="G11" s="20"/>
      <c r="H11" s="1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7.25" x14ac:dyDescent="0.25">
      <c r="A12" s="1"/>
      <c r="B12" s="14"/>
      <c r="C12" s="19" t="s">
        <v>55</v>
      </c>
      <c r="D12" s="20"/>
      <c r="E12" s="19" t="s">
        <v>17</v>
      </c>
      <c r="F12" s="20"/>
      <c r="G12" s="19" t="s">
        <v>50</v>
      </c>
      <c r="H12" s="1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thickBot="1" x14ac:dyDescent="0.3">
      <c r="A13" s="1"/>
      <c r="B13" s="14"/>
      <c r="C13" s="20"/>
      <c r="D13" s="20"/>
      <c r="E13" s="20"/>
      <c r="F13" s="20"/>
      <c r="G13" s="21"/>
      <c r="H13" s="1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thickBot="1" x14ac:dyDescent="0.3">
      <c r="A14" s="1"/>
      <c r="B14" s="14"/>
      <c r="C14" s="81">
        <f>'Heat Pump Determination'!D6</f>
        <v>23.2</v>
      </c>
      <c r="D14" s="20"/>
      <c r="E14" s="26">
        <v>0</v>
      </c>
      <c r="F14" s="20"/>
      <c r="G14" s="22" t="s">
        <v>1</v>
      </c>
      <c r="H14" s="1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thickBot="1" x14ac:dyDescent="0.3">
      <c r="A15" s="1"/>
      <c r="B15" s="14"/>
      <c r="C15" s="20"/>
      <c r="D15" s="20"/>
      <c r="E15" s="20"/>
      <c r="F15" s="20"/>
      <c r="G15" s="28" t="e">
        <f>(230^2/C52)</f>
        <v>#DIV/0!</v>
      </c>
      <c r="H15" s="1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1"/>
      <c r="B16" s="14"/>
      <c r="C16" s="19" t="s">
        <v>56</v>
      </c>
      <c r="D16" s="20"/>
      <c r="E16" s="19" t="s">
        <v>0</v>
      </c>
      <c r="F16" s="20"/>
      <c r="G16" s="20"/>
      <c r="H16" s="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thickBot="1" x14ac:dyDescent="0.3">
      <c r="A17" s="1"/>
      <c r="B17" s="14"/>
      <c r="C17" s="20"/>
      <c r="D17" s="20"/>
      <c r="E17" s="20"/>
      <c r="F17" s="20"/>
      <c r="G17" s="20" t="s">
        <v>2</v>
      </c>
      <c r="H17" s="1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thickBot="1" x14ac:dyDescent="0.3">
      <c r="A18" s="1"/>
      <c r="B18" s="14"/>
      <c r="C18" s="10">
        <v>22.08</v>
      </c>
      <c r="D18" s="20"/>
      <c r="E18" s="10">
        <v>0</v>
      </c>
      <c r="F18" s="20"/>
      <c r="G18" s="28">
        <f>(400^2/C67)</f>
        <v>3.3333333333333333E-2</v>
      </c>
      <c r="H18" s="1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14"/>
      <c r="C19" s="20"/>
      <c r="D19" s="20"/>
      <c r="E19" s="20"/>
      <c r="F19" s="20"/>
      <c r="G19" s="20"/>
      <c r="H19" s="1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8" thickBot="1" x14ac:dyDescent="0.3">
      <c r="A20" s="1"/>
      <c r="B20" s="14"/>
      <c r="C20" s="19" t="s">
        <v>57</v>
      </c>
      <c r="D20" s="20"/>
      <c r="E20" s="19" t="s">
        <v>0</v>
      </c>
      <c r="F20" s="20"/>
      <c r="G20" s="20" t="s">
        <v>20</v>
      </c>
      <c r="H20" s="1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thickBot="1" x14ac:dyDescent="0.3">
      <c r="A21" s="1"/>
      <c r="B21" s="14"/>
      <c r="C21" s="20"/>
      <c r="D21" s="20"/>
      <c r="E21" s="20"/>
      <c r="F21" s="20"/>
      <c r="G21" s="28">
        <f>(400^2/C71)</f>
        <v>3.3333333333333333E-2</v>
      </c>
      <c r="H21" s="1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75" thickBot="1" x14ac:dyDescent="0.3">
      <c r="A22" s="1"/>
      <c r="B22" s="14"/>
      <c r="C22" s="81">
        <f>'Heat Pump Determination'!D6</f>
        <v>23.2</v>
      </c>
      <c r="D22" s="20"/>
      <c r="E22" s="26">
        <v>2</v>
      </c>
      <c r="F22" s="20"/>
      <c r="G22" s="20"/>
      <c r="H22" s="1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7.25" x14ac:dyDescent="0.25">
      <c r="A23" s="1"/>
      <c r="B23" s="14"/>
      <c r="C23" s="20"/>
      <c r="D23" s="20"/>
      <c r="E23" s="20"/>
      <c r="F23" s="20"/>
      <c r="G23" s="19" t="s">
        <v>51</v>
      </c>
      <c r="H23" s="1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thickBot="1" x14ac:dyDescent="0.3">
      <c r="A24" s="1"/>
      <c r="B24" s="14"/>
      <c r="C24" s="20"/>
      <c r="D24" s="20"/>
      <c r="E24" s="20"/>
      <c r="F24" s="20"/>
      <c r="G24" s="20"/>
      <c r="H24" s="1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thickBot="1" x14ac:dyDescent="0.3">
      <c r="A25" s="1"/>
      <c r="B25" s="14"/>
      <c r="C25" s="20"/>
      <c r="D25" s="20"/>
      <c r="E25" s="20"/>
      <c r="F25" s="20"/>
      <c r="G25" s="75">
        <f>Sheet1!F9</f>
        <v>0.36</v>
      </c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thickBot="1" x14ac:dyDescent="0.3">
      <c r="A26" s="1"/>
      <c r="B26" s="23"/>
      <c r="C26" s="24"/>
      <c r="D26" s="24"/>
      <c r="E26" s="24"/>
      <c r="F26" s="24"/>
      <c r="G26" s="24"/>
      <c r="H26" s="2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1"/>
      <c r="B27" s="2"/>
      <c r="C27" s="3"/>
      <c r="D27" s="3"/>
      <c r="E27" s="3"/>
      <c r="F27" s="3"/>
      <c r="G27" s="3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1"/>
      <c r="B28" s="2"/>
      <c r="C28" s="3"/>
      <c r="D28" s="3"/>
      <c r="E28" s="3"/>
      <c r="F28" s="3"/>
      <c r="G28" s="3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"/>
      <c r="B29" s="2"/>
      <c r="C29" s="3"/>
      <c r="D29" s="3"/>
      <c r="E29" s="3"/>
      <c r="F29" s="3"/>
      <c r="G29" s="3"/>
      <c r="H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2"/>
      <c r="C30" s="4" t="s">
        <v>3</v>
      </c>
      <c r="D30" s="3"/>
      <c r="E30" s="3"/>
      <c r="F30" s="3"/>
      <c r="G30" s="3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idden="1" x14ac:dyDescent="0.25">
      <c r="A31" s="1"/>
      <c r="B31" s="2"/>
      <c r="C31" s="91"/>
      <c r="D31" s="91"/>
      <c r="E31" s="91"/>
      <c r="F31" s="91"/>
      <c r="G31" s="91"/>
      <c r="H31" s="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idden="1" x14ac:dyDescent="0.25">
      <c r="A32" s="1"/>
      <c r="B32" s="2"/>
      <c r="C32" s="3"/>
      <c r="D32" s="3"/>
      <c r="E32" s="3"/>
      <c r="F32" s="3"/>
      <c r="G32" s="3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idden="1" x14ac:dyDescent="0.25">
      <c r="A33" s="1"/>
      <c r="B33" s="1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.75" hidden="1" thickBot="1" x14ac:dyDescent="0.3">
      <c r="A34" s="1"/>
      <c r="B34" s="1"/>
      <c r="C34" s="5" t="s">
        <v>4</v>
      </c>
      <c r="D34" s="5"/>
      <c r="E34" s="5" t="s">
        <v>5</v>
      </c>
      <c r="F34" s="5"/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8" hidden="1" thickBot="1" x14ac:dyDescent="0.3">
      <c r="A35" s="1"/>
      <c r="B35" s="1"/>
      <c r="C35" s="6">
        <v>15</v>
      </c>
      <c r="D35" s="5"/>
      <c r="E35" s="6">
        <f>E10+E14+E18+E22</f>
        <v>2</v>
      </c>
      <c r="F35" s="5"/>
      <c r="G35" s="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5.75" hidden="1" thickBot="1" x14ac:dyDescent="0.3">
      <c r="A36" s="1"/>
      <c r="B36" s="1"/>
      <c r="C36" s="6">
        <v>33</v>
      </c>
      <c r="D36" s="5"/>
      <c r="E36" s="5"/>
      <c r="F36" s="5"/>
      <c r="G36" s="5"/>
      <c r="H36" s="1"/>
      <c r="I36" s="1"/>
      <c r="J36" s="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idden="1" x14ac:dyDescent="0.25">
      <c r="A37" s="1"/>
      <c r="B37" s="1"/>
      <c r="C37" s="5"/>
      <c r="D37" s="5"/>
      <c r="E37" s="5"/>
      <c r="F37" s="5"/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75" hidden="1" thickBot="1" x14ac:dyDescent="0.3">
      <c r="A38" s="1"/>
      <c r="B38" s="1"/>
      <c r="C38" s="5" t="s">
        <v>6</v>
      </c>
      <c r="D38" s="5"/>
      <c r="E38" s="5"/>
      <c r="F38" s="5"/>
      <c r="G38" s="5"/>
      <c r="H38" s="1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75" hidden="1" thickBot="1" x14ac:dyDescent="0.3">
      <c r="A39" s="1"/>
      <c r="B39" s="1"/>
      <c r="C39" s="6">
        <v>2</v>
      </c>
      <c r="D39" s="5"/>
      <c r="E39" s="5"/>
      <c r="F39" s="5"/>
      <c r="G39" s="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idden="1" x14ac:dyDescent="0.25">
      <c r="A40" s="1"/>
      <c r="B40" s="1"/>
      <c r="C40" s="5"/>
      <c r="D40" s="5"/>
      <c r="E40" s="5"/>
      <c r="F40" s="5"/>
      <c r="G40" s="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.75" hidden="1" thickBot="1" x14ac:dyDescent="0.3">
      <c r="A41" s="1"/>
      <c r="B41" s="1"/>
      <c r="C41" s="5"/>
      <c r="D41" s="5"/>
      <c r="E41" s="5"/>
      <c r="F41" s="5"/>
      <c r="G41" s="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idden="1" x14ac:dyDescent="0.25">
      <c r="A42" s="1"/>
      <c r="B42" s="1"/>
      <c r="C42" s="40" t="s">
        <v>11</v>
      </c>
      <c r="D42" s="5"/>
      <c r="F42" s="5"/>
      <c r="G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idden="1" x14ac:dyDescent="0.25">
      <c r="A43" s="1"/>
      <c r="B43" s="1"/>
      <c r="C43" s="41"/>
      <c r="D43" s="5"/>
      <c r="E43" s="1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75" hidden="1" thickBot="1" x14ac:dyDescent="0.3">
      <c r="A44" s="1"/>
      <c r="B44" s="1"/>
      <c r="C44" s="42">
        <f>((C35)*(E10*C10))*1000</f>
        <v>0</v>
      </c>
      <c r="D44" s="5"/>
      <c r="E44" s="34"/>
      <c r="F44" s="3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75" hidden="1" thickBot="1" x14ac:dyDescent="0.3">
      <c r="A45" s="1"/>
      <c r="B45" s="1"/>
      <c r="C45" s="3"/>
      <c r="D45" s="5"/>
      <c r="E45" s="34"/>
      <c r="F45" s="3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idden="1" x14ac:dyDescent="0.25">
      <c r="A46" s="1"/>
      <c r="B46" s="1"/>
      <c r="C46" s="40" t="s">
        <v>12</v>
      </c>
      <c r="D46" s="5"/>
      <c r="E46" s="2"/>
      <c r="F46" s="3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idden="1" x14ac:dyDescent="0.25">
      <c r="A47" s="1"/>
      <c r="B47" s="1"/>
      <c r="C47" s="41"/>
      <c r="D47" s="5"/>
      <c r="E47" s="34"/>
      <c r="F47" s="3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.75" hidden="1" thickBot="1" x14ac:dyDescent="0.3">
      <c r="A48" s="1"/>
      <c r="B48" s="1"/>
      <c r="C48" s="42">
        <f>IF(E14&gt;0.5,Sheet1!C9,0)</f>
        <v>0</v>
      </c>
      <c r="D48" s="5"/>
      <c r="E48" s="34"/>
      <c r="F48" s="3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.75" hidden="1" thickBot="1" x14ac:dyDescent="0.3">
      <c r="A49" s="1"/>
      <c r="B49" s="1"/>
      <c r="C49" s="3"/>
      <c r="D49" s="5"/>
      <c r="E49" s="3"/>
      <c r="F49" s="3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idden="1" x14ac:dyDescent="0.25">
      <c r="A50" s="1"/>
      <c r="B50" s="1"/>
      <c r="C50" s="40" t="s">
        <v>13</v>
      </c>
      <c r="D50" s="5"/>
      <c r="E50" s="3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idden="1" x14ac:dyDescent="0.25">
      <c r="A51" s="1"/>
      <c r="B51" s="1"/>
      <c r="C51" s="41"/>
      <c r="D51" s="5"/>
      <c r="E51" s="3"/>
      <c r="F51" s="5"/>
      <c r="G51" s="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.75" hidden="1" thickBot="1" x14ac:dyDescent="0.3">
      <c r="A52" s="1"/>
      <c r="B52" s="1"/>
      <c r="C52" s="42">
        <f>(C44^2+C48^2)^(1/C39)</f>
        <v>0</v>
      </c>
      <c r="D52" s="5"/>
      <c r="E52" s="3"/>
      <c r="F52" s="5"/>
      <c r="G52" s="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idden="1" x14ac:dyDescent="0.25">
      <c r="A53" s="1"/>
      <c r="B53" s="1"/>
      <c r="C53" s="3"/>
      <c r="D53" s="5"/>
      <c r="E53" s="3"/>
      <c r="F53" s="5"/>
      <c r="G53" s="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.75" hidden="1" thickBot="1" x14ac:dyDescent="0.3">
      <c r="A54" s="1"/>
      <c r="B54" s="1"/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idden="1" x14ac:dyDescent="0.25">
      <c r="A55" s="1"/>
      <c r="B55" s="1"/>
      <c r="C55" s="43" t="s">
        <v>14</v>
      </c>
      <c r="D55" s="5"/>
      <c r="E55" s="5"/>
      <c r="F55" s="5"/>
      <c r="G55" s="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idden="1" x14ac:dyDescent="0.25">
      <c r="A56" s="1"/>
      <c r="B56" s="1"/>
      <c r="C56" s="44"/>
      <c r="D56" s="5"/>
      <c r="E56" s="5"/>
      <c r="F56" s="5"/>
      <c r="G56" s="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75" hidden="1" thickBot="1" x14ac:dyDescent="0.3">
      <c r="A57" s="1"/>
      <c r="B57" s="1"/>
      <c r="C57" s="45">
        <f>((C35)*(E18*C18))*1000</f>
        <v>0</v>
      </c>
      <c r="D57" s="5"/>
      <c r="E57" s="5"/>
      <c r="F57" s="5"/>
      <c r="G57" s="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idden="1" x14ac:dyDescent="0.25">
      <c r="A58" s="1"/>
      <c r="B58" s="1"/>
      <c r="C58" s="3"/>
      <c r="D58" s="5"/>
      <c r="E58" s="3"/>
      <c r="F58" s="3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75" hidden="1" thickBot="1" x14ac:dyDescent="0.3">
      <c r="A59" s="1"/>
      <c r="B59" s="1"/>
      <c r="C59" s="3"/>
      <c r="D59" s="5"/>
      <c r="E59" s="34"/>
      <c r="F59" s="3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idden="1" x14ac:dyDescent="0.25">
      <c r="A60" s="1"/>
      <c r="B60" s="1"/>
      <c r="C60" s="43" t="s">
        <v>15</v>
      </c>
      <c r="D60" s="5"/>
      <c r="E60" s="2"/>
      <c r="F60" s="3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idden="1" x14ac:dyDescent="0.25">
      <c r="A61" s="1"/>
      <c r="B61" s="1"/>
      <c r="C61" s="44"/>
      <c r="D61" s="5"/>
      <c r="E61" s="34"/>
      <c r="F61" s="3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75" hidden="1" thickBot="1" x14ac:dyDescent="0.3">
      <c r="A62" s="1"/>
      <c r="B62" s="1"/>
      <c r="C62" s="45">
        <f>IF(E22&gt;0.5,Sheet1!C9,0)</f>
        <v>4800000</v>
      </c>
      <c r="D62" s="5"/>
      <c r="E62" s="34"/>
      <c r="F62" s="3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idden="1" x14ac:dyDescent="0.25">
      <c r="A63" s="1"/>
      <c r="B63" s="1"/>
      <c r="C63" s="3"/>
      <c r="D63" s="5"/>
      <c r="E63" s="3"/>
      <c r="F63" s="3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.75" hidden="1" thickBot="1" x14ac:dyDescent="0.3">
      <c r="A64" s="1"/>
      <c r="B64" s="1"/>
      <c r="C64" s="3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idden="1" x14ac:dyDescent="0.25">
      <c r="A65" s="1"/>
      <c r="B65" s="1"/>
      <c r="C65" s="43" t="s">
        <v>16</v>
      </c>
      <c r="D65" s="5"/>
      <c r="E65" s="5"/>
      <c r="F65" s="5"/>
      <c r="G65" s="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idden="1" x14ac:dyDescent="0.25">
      <c r="A66" s="1"/>
      <c r="B66" s="1"/>
      <c r="C66" s="44"/>
      <c r="D66" s="5"/>
      <c r="E66" s="5"/>
      <c r="F66" s="5"/>
      <c r="G66" s="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5.75" hidden="1" thickBot="1" x14ac:dyDescent="0.3">
      <c r="A67" s="1"/>
      <c r="B67" s="1"/>
      <c r="C67" s="45">
        <f>(C57^2+C62^2)^(1/C39)</f>
        <v>4800000</v>
      </c>
      <c r="D67" s="5"/>
      <c r="E67" s="5"/>
      <c r="F67" s="5"/>
      <c r="G67" s="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.75" hidden="1" thickBot="1" x14ac:dyDescent="0.3">
      <c r="A68" s="1"/>
      <c r="B68" s="1"/>
      <c r="C68" s="3"/>
      <c r="D68" s="5"/>
      <c r="E68" s="5"/>
      <c r="F68" s="5"/>
      <c r="G68" s="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idden="1" x14ac:dyDescent="0.25">
      <c r="A69" s="1"/>
      <c r="B69" s="1"/>
      <c r="C69" s="46" t="s">
        <v>7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idden="1" x14ac:dyDescent="0.25">
      <c r="A70" s="1"/>
      <c r="B70" s="1"/>
      <c r="C70" s="4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.75" hidden="1" thickBot="1" x14ac:dyDescent="0.3">
      <c r="A71" s="1"/>
      <c r="B71" s="1"/>
      <c r="C71" s="48">
        <f>(C52^2+C67^2)^(1/2)</f>
        <v>4800000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idden="1" x14ac:dyDescent="0.25">
      <c r="A72" s="1"/>
      <c r="B72" s="1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"/>
      <c r="B73" s="1"/>
      <c r="C73" s="1" t="s">
        <v>18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"/>
      <c r="B74" s="1"/>
      <c r="C74" s="1" t="s">
        <v>9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"/>
      <c r="B75" s="1"/>
      <c r="C75" s="1" t="s">
        <v>19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"/>
      <c r="B76" s="1"/>
      <c r="C76" s="1" t="s">
        <v>21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"/>
      <c r="B77" s="1"/>
      <c r="C77" s="1" t="s">
        <v>52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"/>
      <c r="B78" s="1"/>
      <c r="C78" s="1" t="s">
        <v>67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</sheetData>
  <sheetProtection algorithmName="SHA-512" hashValue="rA2sfbJCDcATB3KviCG3ETM1dfY24XVnBs3PSgb+fnn770oux5TA91jsPOuDRgZ42NhXVOza0BQJFVxPk8ZnYA==" saltValue="6pSWcJjpnJMCMicf86ea3g==" spinCount="100000" sheet="1" objects="1" scenarios="1"/>
  <mergeCells count="1">
    <mergeCell ref="C31:G31"/>
  </mergeCells>
  <conditionalFormatting sqref="C10">
    <cfRule type="cellIs" dxfId="3" priority="3" operator="greaterThan">
      <formula>7.36</formula>
    </cfRule>
  </conditionalFormatting>
  <conditionalFormatting sqref="C14">
    <cfRule type="cellIs" dxfId="2" priority="4" operator="greaterThan">
      <formula>7.36</formula>
    </cfRule>
  </conditionalFormatting>
  <conditionalFormatting sqref="C18">
    <cfRule type="cellIs" dxfId="1" priority="2" operator="greaterThan">
      <formula>22.08</formula>
    </cfRule>
  </conditionalFormatting>
  <conditionalFormatting sqref="C22">
    <cfRule type="cellIs" dxfId="0" priority="1" operator="greaterThan">
      <formula>22.08</formula>
    </cfRule>
  </conditionalFormatting>
  <dataValidations count="1">
    <dataValidation type="list" allowBlank="1" showInputMessage="1" showErrorMessage="1" sqref="C7">
      <formula1>"Whole current, CT metering,"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4"/>
  <sheetViews>
    <sheetView workbookViewId="0">
      <selection activeCell="B24" sqref="B24"/>
    </sheetView>
  </sheetViews>
  <sheetFormatPr defaultRowHeight="15" x14ac:dyDescent="0.25"/>
  <cols>
    <col min="2" max="2" width="18" customWidth="1"/>
    <col min="3" max="4" width="15.85546875" customWidth="1"/>
    <col min="5" max="5" width="17.85546875" customWidth="1"/>
    <col min="6" max="6" width="17.42578125" customWidth="1"/>
    <col min="7" max="7" width="18.140625" customWidth="1"/>
  </cols>
  <sheetData>
    <row r="4" spans="2:16" x14ac:dyDescent="0.25">
      <c r="B4" s="36"/>
      <c r="C4" s="36" t="s">
        <v>37</v>
      </c>
      <c r="D4" s="36" t="s">
        <v>46</v>
      </c>
      <c r="E4" s="36"/>
      <c r="F4" s="36" t="s">
        <v>38</v>
      </c>
      <c r="G4" s="36" t="s">
        <v>47</v>
      </c>
    </row>
    <row r="5" spans="2:16" x14ac:dyDescent="0.25">
      <c r="B5" s="37" t="s">
        <v>39</v>
      </c>
      <c r="C5" s="36">
        <f>IF('Heat Pump Determination'!D8="yes",1,0)</f>
        <v>0</v>
      </c>
      <c r="D5" s="36"/>
      <c r="E5" s="36" t="s">
        <v>42</v>
      </c>
      <c r="F5" s="36">
        <f>IF('Heat Pump Determination'!D20="yes",1,0)</f>
        <v>0</v>
      </c>
      <c r="G5" s="36"/>
    </row>
    <row r="6" spans="2:16" x14ac:dyDescent="0.25">
      <c r="B6" s="36" t="s">
        <v>40</v>
      </c>
      <c r="C6" s="36">
        <f>IF('Heat Pump Determination'!D10="yes",B24,0)</f>
        <v>0</v>
      </c>
      <c r="D6" s="36"/>
      <c r="E6" s="36" t="s">
        <v>43</v>
      </c>
      <c r="F6" s="36">
        <f>IF('Heat Pump Determination'!D22="yes",1,0)</f>
        <v>1</v>
      </c>
      <c r="G6" s="36">
        <f>'Heat Pump Determination'!D24</f>
        <v>0.36</v>
      </c>
    </row>
    <row r="7" spans="2:16" x14ac:dyDescent="0.25">
      <c r="B7" s="36" t="s">
        <v>41</v>
      </c>
      <c r="C7" s="36">
        <f>IF('Heat Pump Determination'!D14&gt;0,1,0)</f>
        <v>1</v>
      </c>
      <c r="D7" s="36"/>
      <c r="E7" s="36" t="s">
        <v>44</v>
      </c>
      <c r="F7" s="36">
        <f>IF('Heat Pump Determination'!D26="yes",1,0)</f>
        <v>1</v>
      </c>
      <c r="G7" s="36">
        <f>IF('Heat Pump Determination'!D28="single phase",0.3536,IF('Heat Pump Determination'!D28="split phase",0.4243,IF('Heat Pump Determination'!D28="three phase",0.2121,0)))</f>
        <v>0.35360000000000003</v>
      </c>
    </row>
    <row r="8" spans="2:16" x14ac:dyDescent="0.25">
      <c r="B8" s="31"/>
      <c r="C8" s="31"/>
      <c r="D8" s="31"/>
      <c r="E8" s="31"/>
      <c r="F8" s="31"/>
      <c r="G8" s="31"/>
    </row>
    <row r="9" spans="2:16" x14ac:dyDescent="0.25">
      <c r="B9" s="38" t="s">
        <v>45</v>
      </c>
      <c r="C9" s="35">
        <f>IF(C5=1,112553,IF(C6&gt;1,C6,IF(C7&gt;0,'Heat Pump Determination'!D14*1000*'Impedance Calculator '!E22,0)))</f>
        <v>4800000</v>
      </c>
      <c r="D9" s="35"/>
      <c r="E9" s="35"/>
      <c r="F9" s="35">
        <f>IF(F5=1,0.47,IF(F6=1,G6,IF(F7=1,G7,0)))</f>
        <v>0.36</v>
      </c>
      <c r="G9" s="39"/>
      <c r="H9" s="34"/>
    </row>
    <row r="10" spans="2:16" x14ac:dyDescent="0.25">
      <c r="B10" s="31"/>
      <c r="C10" s="31"/>
      <c r="D10" s="31"/>
      <c r="E10" s="31"/>
      <c r="F10" s="31"/>
      <c r="G10" s="31"/>
    </row>
    <row r="11" spans="2:16" x14ac:dyDescent="0.25">
      <c r="B11" s="31"/>
      <c r="C11" s="31"/>
      <c r="D11" s="31"/>
      <c r="E11" s="31"/>
      <c r="F11" s="31"/>
      <c r="G11" s="31"/>
    </row>
    <row r="12" spans="2:16" x14ac:dyDescent="0.25">
      <c r="B12" s="31"/>
      <c r="C12" s="31"/>
      <c r="D12" s="31"/>
      <c r="E12" s="31"/>
      <c r="F12" s="31"/>
      <c r="G12" s="31"/>
    </row>
    <row r="14" spans="2:16" ht="15.75" thickBot="1" x14ac:dyDescent="0.3">
      <c r="B14" s="5" t="s">
        <v>4</v>
      </c>
      <c r="C14" s="5"/>
      <c r="D14" s="5" t="s">
        <v>5</v>
      </c>
      <c r="E14" s="5"/>
      <c r="F14" s="84" t="s">
        <v>61</v>
      </c>
      <c r="G14" s="1"/>
      <c r="H14" s="1"/>
      <c r="I14" s="1"/>
      <c r="J14" s="84" t="s">
        <v>62</v>
      </c>
      <c r="K14" s="1"/>
      <c r="L14" s="1"/>
      <c r="M14" s="1"/>
      <c r="N14" s="1"/>
      <c r="O14" s="1"/>
      <c r="P14" s="1"/>
    </row>
    <row r="15" spans="2:16" ht="15.75" thickBot="1" x14ac:dyDescent="0.3">
      <c r="B15" s="6">
        <f>IF('Impedance Calculator '!C7="whole current",F15,J15)</f>
        <v>29.05</v>
      </c>
      <c r="C15" s="5"/>
      <c r="D15" s="6">
        <f>'Impedance Calculator '!E14+'Impedance Calculator '!E22</f>
        <v>2</v>
      </c>
      <c r="E15" s="5"/>
      <c r="F15" s="6">
        <f>IF(D15&lt;6,29.05,IF(D15&gt;7,11.391,20.323))</f>
        <v>29.05</v>
      </c>
      <c r="G15" s="1"/>
      <c r="H15" s="1"/>
      <c r="I15" s="1"/>
      <c r="J15" s="6">
        <f>IF(D15&lt;6,24.224,IF(D15&gt;7,9.499,16.647))</f>
        <v>24.224</v>
      </c>
      <c r="K15" s="1"/>
      <c r="L15" s="1"/>
      <c r="M15" s="1"/>
      <c r="N15" s="1"/>
      <c r="O15" s="1"/>
      <c r="P15" s="1"/>
    </row>
    <row r="16" spans="2:16" x14ac:dyDescent="0.25">
      <c r="B16" s="5"/>
      <c r="C16" s="5"/>
      <c r="D16" s="5"/>
      <c r="E16" s="5"/>
      <c r="F16" s="5"/>
      <c r="G16" s="1"/>
      <c r="H16" s="1"/>
      <c r="I16" s="8"/>
      <c r="J16" s="1"/>
      <c r="K16" s="1"/>
      <c r="L16" s="1"/>
      <c r="M16" s="1"/>
      <c r="N16" s="1"/>
      <c r="O16" s="1"/>
      <c r="P16" s="1"/>
    </row>
    <row r="17" spans="2:16" x14ac:dyDescent="0.25">
      <c r="B17" s="5"/>
      <c r="C17" s="5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</row>
    <row r="19" spans="2:16" ht="15.75" thickBot="1" x14ac:dyDescent="0.3">
      <c r="B19" s="5" t="s">
        <v>6</v>
      </c>
      <c r="E19" t="s">
        <v>63</v>
      </c>
      <c r="G19" t="s">
        <v>65</v>
      </c>
    </row>
    <row r="20" spans="2:16" ht="15.75" thickBot="1" x14ac:dyDescent="0.3">
      <c r="B20" s="6">
        <f>IF(D15&lt;6,2,IF(D15&gt;7,1,1.4))</f>
        <v>2</v>
      </c>
      <c r="E20" s="88">
        <f>'Impedance Calculator '!E14</f>
        <v>0</v>
      </c>
      <c r="G20">
        <f>'Heat Pump Determination'!D6</f>
        <v>23.2</v>
      </c>
      <c r="H20" t="s">
        <v>66</v>
      </c>
    </row>
    <row r="21" spans="2:16" ht="15.75" thickBot="1" x14ac:dyDescent="0.3"/>
    <row r="22" spans="2:16" ht="15.75" thickBot="1" x14ac:dyDescent="0.3">
      <c r="B22" s="85" t="s">
        <v>68</v>
      </c>
      <c r="E22" t="s">
        <v>64</v>
      </c>
    </row>
    <row r="23" spans="2:16" ht="15.75" thickBot="1" x14ac:dyDescent="0.3">
      <c r="B23" s="86"/>
      <c r="E23" s="88">
        <f>'Impedance Calculator '!E22</f>
        <v>2</v>
      </c>
    </row>
    <row r="24" spans="2:16" ht="15.75" thickBot="1" x14ac:dyDescent="0.3">
      <c r="B24" s="87">
        <f>((B15)*(D15*G20^B20)^(1/B20))*1000</f>
        <v>953123.37249697116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Heat Pump Determination</vt:lpstr>
      <vt:lpstr>Impedance Calculator </vt:lpstr>
      <vt:lpstr>Sheet1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Treasure, Seth</dc:creator>
  <cp:lastModifiedBy>Treasure, Seth</cp:lastModifiedBy>
  <dcterms:created xsi:type="dcterms:W3CDTF">2018-05-25T14:25:44Z</dcterms:created>
  <dcterms:modified xsi:type="dcterms:W3CDTF">2020-10-22T11:07:02Z</dcterms:modified>
</cp:coreProperties>
</file>